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o\OneDrive\Área de Trabalho\PAV. AVENIDA JOÃO MEIRA DOS SANTOS\PROJETO À LICITAR\RECAP. CBUQ\PLANILHA\RUAS SEPARADAS\"/>
    </mc:Choice>
  </mc:AlternateContent>
  <xr:revisionPtr revIDLastSave="0" documentId="13_ncr:1_{613CDD51-ABBD-4DCD-A19C-D229AB4F3081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MEMÓRIAL DE CÁLCULO" sheetId="9" r:id="rId1"/>
    <sheet name="PLANILHA ORÇAMENTÁRIA" sheetId="5" r:id="rId2"/>
    <sheet name="BDI" sheetId="6" r:id="rId3"/>
    <sheet name="CRONOGRAMA FÍSICO-FINANCEIRO" sheetId="7" r:id="rId4"/>
    <sheet name="PREÇO EMULSÃO" sheetId="10" r:id="rId5"/>
  </sheets>
  <definedNames>
    <definedName name="_xlnm.Print_Area" localSheetId="2">BDI!$A$1:$D$33</definedName>
    <definedName name="_xlnm.Print_Area" localSheetId="3">'CRONOGRAMA FÍSICO-FINANCEIRO'!$A$1:$M$24</definedName>
    <definedName name="_xlnm.Print_Area" localSheetId="0">'MEMÓRIAL DE CÁLCULO'!$A$1:$I$42</definedName>
    <definedName name="_xlnm.Print_Area" localSheetId="1">'PLANILHA ORÇAMENTÁRIA'!$A$1:$I$43</definedName>
    <definedName name="_xlnm.Print_Area" localSheetId="4">'PREÇO EMULSÃO'!$A$1:$O$21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5" l="1"/>
  <c r="O20" i="5"/>
  <c r="O22" i="5"/>
  <c r="O23" i="5"/>
  <c r="O27" i="5"/>
  <c r="O29" i="5"/>
  <c r="O31" i="5"/>
  <c r="O32" i="5"/>
  <c r="L14" i="9"/>
  <c r="L15" i="9"/>
  <c r="L16" i="9"/>
  <c r="L17" i="9"/>
  <c r="L18" i="9"/>
  <c r="L19" i="9"/>
  <c r="L20" i="9"/>
  <c r="L21" i="9"/>
  <c r="L13" i="9"/>
  <c r="F19" i="9"/>
  <c r="F17" i="9"/>
  <c r="F16" i="9"/>
  <c r="F15" i="9"/>
  <c r="F14" i="9"/>
  <c r="F13" i="9"/>
  <c r="F32" i="9"/>
  <c r="F28" i="9"/>
  <c r="F27" i="9"/>
  <c r="F26" i="9"/>
  <c r="F25" i="9"/>
  <c r="F25" i="5" s="1"/>
  <c r="O25" i="5" s="1"/>
  <c r="F32" i="5"/>
  <c r="E32" i="5"/>
  <c r="D32" i="5"/>
  <c r="C32" i="5"/>
  <c r="B32" i="5"/>
  <c r="A32" i="5"/>
  <c r="K31" i="5"/>
  <c r="E31" i="5"/>
  <c r="D31" i="5"/>
  <c r="C31" i="5"/>
  <c r="B31" i="5"/>
  <c r="A31" i="5"/>
  <c r="F30" i="5"/>
  <c r="O30" i="5" s="1"/>
  <c r="E30" i="5"/>
  <c r="D30" i="5"/>
  <c r="C30" i="5"/>
  <c r="B30" i="5"/>
  <c r="A30" i="5"/>
  <c r="K29" i="5"/>
  <c r="E29" i="5"/>
  <c r="D29" i="5"/>
  <c r="C29" i="5"/>
  <c r="B29" i="5"/>
  <c r="A29" i="5"/>
  <c r="F28" i="5"/>
  <c r="O28" i="5" s="1"/>
  <c r="E28" i="5"/>
  <c r="D28" i="5"/>
  <c r="C28" i="5"/>
  <c r="B28" i="5"/>
  <c r="A28" i="5"/>
  <c r="F27" i="5"/>
  <c r="E27" i="5"/>
  <c r="D27" i="5"/>
  <c r="C27" i="5"/>
  <c r="B27" i="5"/>
  <c r="A27" i="5"/>
  <c r="E26" i="5"/>
  <c r="D26" i="5"/>
  <c r="C26" i="5"/>
  <c r="B26" i="5"/>
  <c r="A26" i="5"/>
  <c r="G25" i="5"/>
  <c r="E25" i="5"/>
  <c r="D25" i="5"/>
  <c r="C25" i="5"/>
  <c r="B25" i="5"/>
  <c r="A25" i="5"/>
  <c r="F24" i="5"/>
  <c r="O24" i="5" s="1"/>
  <c r="E24" i="5"/>
  <c r="D24" i="5"/>
  <c r="C24" i="5"/>
  <c r="B24" i="5"/>
  <c r="A24" i="5"/>
  <c r="K23" i="5"/>
  <c r="E23" i="5"/>
  <c r="D23" i="5"/>
  <c r="C23" i="5"/>
  <c r="B23" i="5"/>
  <c r="A23" i="5"/>
  <c r="K22" i="5"/>
  <c r="E22" i="5"/>
  <c r="D22" i="5"/>
  <c r="B12" i="7" s="1"/>
  <c r="C22" i="5"/>
  <c r="B22" i="5"/>
  <c r="A22" i="5"/>
  <c r="A12" i="7" s="1"/>
  <c r="O11" i="5"/>
  <c r="K11" i="5"/>
  <c r="E11" i="5"/>
  <c r="D11" i="5"/>
  <c r="B11" i="7" s="1"/>
  <c r="C11" i="5"/>
  <c r="B11" i="5"/>
  <c r="A11" i="5"/>
  <c r="A11" i="7" s="1"/>
  <c r="F21" i="9"/>
  <c r="F30" i="9"/>
  <c r="F24" i="9"/>
  <c r="E21" i="5"/>
  <c r="D21" i="5"/>
  <c r="C21" i="5"/>
  <c r="B21" i="5"/>
  <c r="A21" i="5"/>
  <c r="K20" i="5"/>
  <c r="E20" i="5"/>
  <c r="D20" i="5"/>
  <c r="C20" i="5"/>
  <c r="B20" i="5"/>
  <c r="A20" i="5"/>
  <c r="F21" i="5"/>
  <c r="O21" i="5" s="1"/>
  <c r="O12" i="5"/>
  <c r="F10" i="9"/>
  <c r="G14" i="5"/>
  <c r="D22" i="6"/>
  <c r="K12" i="5"/>
  <c r="K18" i="5"/>
  <c r="A16" i="5"/>
  <c r="B16" i="5"/>
  <c r="C16" i="5"/>
  <c r="D16" i="5"/>
  <c r="E16" i="5"/>
  <c r="A17" i="5"/>
  <c r="B17" i="5"/>
  <c r="C17" i="5"/>
  <c r="D17" i="5"/>
  <c r="E17" i="5"/>
  <c r="A13" i="5"/>
  <c r="B13" i="5"/>
  <c r="C13" i="5"/>
  <c r="D13" i="5"/>
  <c r="E13" i="5"/>
  <c r="A14" i="5"/>
  <c r="B14" i="5"/>
  <c r="C14" i="5"/>
  <c r="D14" i="5"/>
  <c r="E14" i="5"/>
  <c r="A15" i="5"/>
  <c r="B15" i="5"/>
  <c r="C15" i="5"/>
  <c r="D15" i="5"/>
  <c r="E15" i="5"/>
  <c r="F26" i="5" l="1"/>
  <c r="O26" i="5" s="1"/>
  <c r="F15" i="5"/>
  <c r="O15" i="5" s="1"/>
  <c r="F17" i="5"/>
  <c r="O17" i="5" s="1"/>
  <c r="F13" i="5"/>
  <c r="O13" i="5" s="1"/>
  <c r="F14" i="5" l="1"/>
  <c r="O14" i="5" s="1"/>
  <c r="F16" i="5"/>
  <c r="O16" i="5" s="1"/>
  <c r="D17" i="7"/>
  <c r="B25" i="6"/>
  <c r="M3" i="7"/>
  <c r="A3" i="5"/>
  <c r="A4" i="5"/>
  <c r="G4" i="5" l="1"/>
  <c r="L3" i="7" s="1"/>
  <c r="H4" i="9"/>
  <c r="H4" i="5" l="1"/>
  <c r="F19" i="5" l="1"/>
  <c r="O19" i="5" s="1"/>
  <c r="F10" i="5"/>
  <c r="O10" i="5" s="1"/>
  <c r="O33" i="5" s="1"/>
  <c r="A10" i="5"/>
  <c r="B10" i="5"/>
  <c r="C10" i="5"/>
  <c r="D10" i="5"/>
  <c r="E10" i="5"/>
  <c r="A12" i="5"/>
  <c r="B12" i="5"/>
  <c r="C12" i="5"/>
  <c r="D12" i="5"/>
  <c r="E12" i="5"/>
  <c r="A18" i="5"/>
  <c r="B18" i="5"/>
  <c r="C18" i="5"/>
  <c r="D18" i="5"/>
  <c r="E18" i="5"/>
  <c r="A19" i="5"/>
  <c r="B19" i="5"/>
  <c r="C19" i="5"/>
  <c r="D19" i="5"/>
  <c r="E19" i="5"/>
  <c r="B9" i="5"/>
  <c r="C9" i="5"/>
  <c r="D9" i="5"/>
  <c r="E9" i="5"/>
  <c r="A9" i="5"/>
  <c r="B8" i="5"/>
  <c r="C8" i="5"/>
  <c r="D8" i="5"/>
  <c r="E8" i="5"/>
  <c r="F8" i="5"/>
  <c r="A8" i="5"/>
  <c r="H7" i="5"/>
  <c r="I6" i="5"/>
  <c r="H6" i="5"/>
  <c r="G6" i="5"/>
  <c r="F6" i="5"/>
  <c r="F5" i="5"/>
  <c r="L53" i="9"/>
  <c r="L43" i="9"/>
  <c r="L42" i="9"/>
  <c r="L41" i="9"/>
  <c r="L40" i="9"/>
  <c r="L39" i="9"/>
  <c r="L38" i="9"/>
  <c r="L37" i="9"/>
  <c r="L36" i="9"/>
  <c r="L35" i="9"/>
  <c r="L34" i="9"/>
  <c r="L33" i="9"/>
  <c r="A5" i="5"/>
  <c r="A7" i="6" l="1"/>
  <c r="A4" i="7"/>
  <c r="A6" i="5"/>
  <c r="A7" i="5"/>
  <c r="O34" i="9" l="1"/>
  <c r="M11" i="7" l="1"/>
  <c r="M12" i="7"/>
  <c r="M10" i="7"/>
  <c r="A10" i="7"/>
  <c r="L35" i="5" l="1"/>
  <c r="A8" i="6" l="1"/>
  <c r="L34" i="5" l="1"/>
  <c r="L36" i="5"/>
  <c r="L37" i="5"/>
  <c r="L38" i="5"/>
  <c r="L39" i="5"/>
  <c r="L40" i="5"/>
  <c r="L41" i="5"/>
  <c r="L42" i="5"/>
  <c r="L43" i="5"/>
  <c r="B17" i="7"/>
  <c r="B10" i="7"/>
  <c r="A6" i="7"/>
  <c r="A5" i="7"/>
  <c r="A3" i="7"/>
  <c r="A2" i="7"/>
  <c r="A6" i="6"/>
  <c r="A5" i="6"/>
  <c r="A30" i="6"/>
  <c r="B23" i="7" s="1"/>
  <c r="A29" i="6"/>
  <c r="B22" i="7" s="1"/>
  <c r="I7" i="9" l="1"/>
  <c r="I7" i="5" l="1"/>
  <c r="H32" i="5" l="1"/>
  <c r="K32" i="5" s="1"/>
  <c r="H17" i="5"/>
  <c r="H30" i="5"/>
  <c r="H13" i="5"/>
  <c r="H16" i="5"/>
  <c r="H28" i="5"/>
  <c r="H10" i="5"/>
  <c r="K10" i="5" s="1"/>
  <c r="H14" i="5"/>
  <c r="H26" i="5"/>
  <c r="H27" i="5"/>
  <c r="H24" i="5"/>
  <c r="H19" i="5"/>
  <c r="K19" i="5" s="1"/>
  <c r="H21" i="5"/>
  <c r="H15" i="5"/>
  <c r="H25" i="5"/>
  <c r="L54" i="9"/>
  <c r="L44" i="9"/>
  <c r="K30" i="5" l="1"/>
  <c r="I30" i="5"/>
  <c r="I29" i="5" s="1"/>
  <c r="K24" i="5"/>
  <c r="I24" i="5"/>
  <c r="K28" i="5"/>
  <c r="I28" i="5"/>
  <c r="I32" i="5"/>
  <c r="I31" i="5" s="1"/>
  <c r="K25" i="5"/>
  <c r="I25" i="5"/>
  <c r="K26" i="5"/>
  <c r="I26" i="5"/>
  <c r="K27" i="5"/>
  <c r="I27" i="5"/>
  <c r="K21" i="5"/>
  <c r="I21" i="5"/>
  <c r="I16" i="5"/>
  <c r="Q16" i="5" s="1"/>
  <c r="K16" i="5"/>
  <c r="I15" i="5"/>
  <c r="K15" i="5"/>
  <c r="I17" i="5"/>
  <c r="K17" i="5"/>
  <c r="I13" i="5"/>
  <c r="K13" i="5"/>
  <c r="I14" i="5"/>
  <c r="K14" i="5"/>
  <c r="I19" i="5"/>
  <c r="I10" i="5"/>
  <c r="Q17" i="5" l="1"/>
  <c r="Q14" i="5"/>
  <c r="I23" i="5"/>
  <c r="I22" i="5" s="1"/>
  <c r="D12" i="7" s="1"/>
  <c r="K33" i="5"/>
  <c r="Q15" i="5"/>
  <c r="I20" i="5"/>
  <c r="Q21" i="5"/>
  <c r="Q10" i="5"/>
  <c r="I9" i="5"/>
  <c r="D10" i="7" s="1"/>
  <c r="I18" i="5"/>
  <c r="Q19" i="5"/>
  <c r="I12" i="5"/>
  <c r="I11" i="5" s="1"/>
  <c r="D11" i="7" s="1"/>
  <c r="Q13" i="5"/>
  <c r="Q33" i="5" l="1"/>
  <c r="I33" i="5"/>
  <c r="F10" i="7"/>
  <c r="L10" i="7" l="1"/>
  <c r="H11" i="7"/>
  <c r="D14" i="7"/>
  <c r="F11" i="7"/>
  <c r="D15" i="7" l="1"/>
  <c r="H12" i="7"/>
  <c r="H14" i="7" s="1"/>
  <c r="F12" i="7"/>
  <c r="F14" i="7" s="1"/>
  <c r="G14" i="7" s="1"/>
  <c r="L11" i="7"/>
  <c r="E10" i="7" l="1"/>
  <c r="L12" i="7"/>
  <c r="F15" i="7"/>
  <c r="H15" i="7" s="1"/>
  <c r="I14" i="7"/>
  <c r="E12" i="7"/>
  <c r="E11" i="7"/>
  <c r="L14" i="7" l="1"/>
  <c r="M14" i="7" s="1"/>
  <c r="E14" i="7"/>
  <c r="G15" i="7"/>
  <c r="I15" i="7" s="1"/>
  <c r="M36" i="5" l="1"/>
</calcChain>
</file>

<file path=xl/sharedStrings.xml><?xml version="1.0" encoding="utf-8"?>
<sst xmlns="http://schemas.openxmlformats.org/spreadsheetml/2006/main" count="201" uniqueCount="136">
  <si>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</si>
  <si>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</si>
  <si>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</si>
  <si>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</si>
  <si>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</si>
  <si>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</si>
  <si>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</si>
  <si>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</si>
  <si>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</si>
  <si>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PREÇO TOTAL</t>
  </si>
  <si>
    <t xml:space="preserve">FORMA DE EXECUÇÃO: </t>
  </si>
  <si>
    <t>M2</t>
  </si>
  <si>
    <t>1.1</t>
  </si>
  <si>
    <t>2.1</t>
  </si>
  <si>
    <t>3.1</t>
  </si>
  <si>
    <t>M</t>
  </si>
  <si>
    <t>TOTAL GERAL DA OBRA</t>
  </si>
  <si>
    <t>FOLHA Nº: 01 / 01</t>
  </si>
  <si>
    <t>M3</t>
  </si>
  <si>
    <t>TXKM</t>
  </si>
  <si>
    <t>INSTALAÇÕES INICIAIS DA OBRA</t>
  </si>
  <si>
    <t>BDI</t>
  </si>
  <si>
    <t>PREÇO UNITÁRIO S/ BDI</t>
  </si>
  <si>
    <t>PREÇO UNITÁRIO C/ BDI</t>
  </si>
  <si>
    <t>___________________________________________________________</t>
  </si>
  <si>
    <t>____________________________________________________________</t>
  </si>
  <si>
    <t>ADEMIR ALVES</t>
  </si>
  <si>
    <t>OBRAS RODOVIARIAS DE ACORDO COM ACÓRDÃO TCU BDI (CONFORME ACÓRDÃO Nº 2622/13 e LEI Nº 13.161 DE 31/08/15)</t>
  </si>
  <si>
    <t>CÁLCULO DA BONIFICAÇÃO E DESPESAS INDIRETAS</t>
  </si>
  <si>
    <t>BDI GERAL</t>
  </si>
  <si>
    <t>TAXAS GERAIS: TG = (1 + (AC + R + (S + G)))*(1 + DF)*(1 + L)</t>
  </si>
  <si>
    <t>SIGLA</t>
  </si>
  <si>
    <t xml:space="preserve">ADMINISTRAÇÃO CENTRAL </t>
  </si>
  <si>
    <t>AC</t>
  </si>
  <si>
    <t>1.2</t>
  </si>
  <si>
    <t xml:space="preserve">RISCOS </t>
  </si>
  <si>
    <t>R</t>
  </si>
  <si>
    <t>1.3</t>
  </si>
  <si>
    <t>SEGUROS+GARANTIAS</t>
  </si>
  <si>
    <t>S+G</t>
  </si>
  <si>
    <t>1.4</t>
  </si>
  <si>
    <t>DF</t>
  </si>
  <si>
    <t>1.5</t>
  </si>
  <si>
    <t>LUCRO</t>
  </si>
  <si>
    <t>L</t>
  </si>
  <si>
    <t>Taxas : T = (i°+i¹+i²+i³)</t>
  </si>
  <si>
    <t>T</t>
  </si>
  <si>
    <t>COFINS</t>
  </si>
  <si>
    <t>i°</t>
  </si>
  <si>
    <t>2.2</t>
  </si>
  <si>
    <t>ISS</t>
  </si>
  <si>
    <t>i¹</t>
  </si>
  <si>
    <t>2.3</t>
  </si>
  <si>
    <t>PIS</t>
  </si>
  <si>
    <t>i²</t>
  </si>
  <si>
    <t>2.4</t>
  </si>
  <si>
    <t>CPRB</t>
  </si>
  <si>
    <t>i³</t>
  </si>
  <si>
    <t>B.D.I. = { [TG / ( 1 - T)] - 1 } x 100</t>
  </si>
  <si>
    <t>___________________________________________</t>
  </si>
  <si>
    <t>CRONOGRAMA FÍSICO-FINANCEIRO</t>
  </si>
  <si>
    <t>VALOR DOS SEVIÇOS</t>
  </si>
  <si>
    <t>Mês 1</t>
  </si>
  <si>
    <t>TOTAL</t>
  </si>
  <si>
    <t>R$</t>
  </si>
  <si>
    <t>%</t>
  </si>
  <si>
    <t>TOTAL ACUMULADO</t>
  </si>
  <si>
    <t>COMPOSIÇÃO DO BDI SEM DESONERAÇÃO</t>
  </si>
  <si>
    <t xml:space="preserve">DESPESAS FINANCEIRAS </t>
  </si>
  <si>
    <t>MARCOS VINÍCIUS COSTA FRÓIS</t>
  </si>
  <si>
    <t>MEMÓRIA DE CÁLCULO</t>
  </si>
  <si>
    <t>OBRAS COMPLEMENTARES DE PAVIMENTAÇÃO</t>
  </si>
  <si>
    <t>PAVIMENTAÇÃO</t>
  </si>
  <si>
    <t>FORNECIMENTO E INSTALAÇÃO DE PLACA DE OBRA COM CHAPA GALVANIZADA E ESTRUTURA DE MADEIRA. AF_03/2022_PS</t>
  </si>
  <si>
    <r>
      <t xml:space="preserve">PREFEITURA MUNICIPAL DE DIVISA ALEGRE 
</t>
    </r>
    <r>
      <rPr>
        <sz val="12"/>
        <rFont val="Arial"/>
        <family val="2"/>
      </rPr>
      <t>RUA  ALFREDO LUIZ BAHIA, Nº 04, CENTRO, DIVISA ALEGRE/MG
CEP: 39.995-000   Telefones: (33) 37558135/8187                                                                                 
CNPJ Nº 01.613.073/0001-11</t>
    </r>
  </si>
  <si>
    <t>EXECUÇÃO DE SARJETA DE CONCRETO USINADO, MOLDADA  IN LOCO  EM TRECHO RETO, 45 CM BASE X 10 CM ALTURA. AF_01/2024</t>
  </si>
  <si>
    <t>ENGENHEIRO CIVIL - CREA-MG: 250000/D</t>
  </si>
  <si>
    <t>PREFEITO MUNICIPAL</t>
  </si>
  <si>
    <t>Mês 2</t>
  </si>
  <si>
    <t>Mês 3</t>
  </si>
  <si>
    <t>(X)</t>
  </si>
  <si>
    <r>
      <t xml:space="preserve">PREFEITURA MUNICIPAL DE DIVISA ALEGRE 
</t>
    </r>
    <r>
      <rPr>
        <sz val="10"/>
        <rFont val="Arial"/>
        <family val="2"/>
      </rPr>
      <t>RUA  ALFREDO LUIZ BAHIA, Nº 04, CENTRO, DIVISA ALEGRE/MG
CEP: 39.995-000   Telefones: (33) 37558135/8187                                                                                 
CNPJ Nº 01.613.073/0001-11</t>
    </r>
  </si>
  <si>
    <t>FONTE</t>
  </si>
  <si>
    <t>RO-00389</t>
  </si>
  <si>
    <t>Pintura de ligação (Execução, exclui fornecimento e transporte do material betuminoso até a obra)</t>
  </si>
  <si>
    <t>ANP</t>
  </si>
  <si>
    <t>Emulsão asfáltica - RR-1C</t>
  </si>
  <si>
    <t>SEINFRA-MG</t>
  </si>
  <si>
    <t>SINAPI</t>
  </si>
  <si>
    <t>TRANSPORTE COM CAMINHÃO TANQUE DE TRANSPORTE DE MATERIAL ASFÁLTICO DE 30000 L, EM VIA URBANA PAVIMENTADA, ADICIONAL PARA DMT EXCEDENTE A 30 KM (UNIDADE: TXKM). AF_07/2020</t>
  </si>
  <si>
    <t>DESCRIÇÃO MEMÓRIA DE CÁLCULO</t>
  </si>
  <si>
    <t>PREFEITURA: PREFEITURA MUNICIPAL DE DIVISA ALEGRE - MG</t>
  </si>
  <si>
    <t>DATA:</t>
  </si>
  <si>
    <t>((1,5 m X 3,00 m) = Dimensões da placa da obra)</t>
  </si>
  <si>
    <t>Divisa Alegre-MG,</t>
  </si>
  <si>
    <t>ED-7623</t>
  </si>
  <si>
    <t>EXECUÇÃO E APLICAÇÃO DE CONCRETO BETUMINOSO USINADO A QUENTE (CBUQ), MASSA COMERCIAL, INCLUINDO FORNECIMENTO E TRANSPORTE DOS AGREGADOS E MATERIAL BETUMINOSO, EXCLUSIVE TRANSPORTE DA MASSA ASFÁLTICA ATÉ A PISTA</t>
  </si>
  <si>
    <t>TRANSPORTE COM CAMINHÃO BASCULANTE DE 18 M³, EM VIA URBANA PAVIMENTADA, ADICIONAL PARA DMT EXCEDENTE A 30 KM (UNIDADE: M3XKM). AF_07/2020</t>
  </si>
  <si>
    <t>M3XKM</t>
  </si>
  <si>
    <t>114 KM referente a distância da Usina de CBUQ em Vitória da Conquista-BA até a obra em Divisa Alegre-MG X  volume de CBUQ</t>
  </si>
  <si>
    <t>REGIÃO/MÊS DE REFERÊNCIA: SEINFRA/REGIÃO JEQUITINHONHA 04/2025 NÃO DESONERADO // SINAPI-MG 08/2025 NÃO DESONERADO //  ANP 07/2025</t>
  </si>
  <si>
    <t>SINALIZAÇÃO VIÁRIA</t>
  </si>
  <si>
    <t>PINTURA DE FAIXA DE PEDESTRE OU ZEBRADA TINTA RETRORREFLETIVA A BASE DE RESINA ACRÍLICA COM MICROESFERAS DE VIDRO, E = 30 CM, APLICAÇÃO MANUAL. AF_05/2021</t>
  </si>
  <si>
    <t>OBJETO: RECAPEAMENTO ASFÁLTICO EM CONCRETO BETUMINOSO USINADO A QUENTE (CBUQ) NO MUNICÍPIO DE DIVISA ALEGRE - MG</t>
  </si>
  <si>
    <t>PRAZO DE EXECUÇÃO: 02 MESES</t>
  </si>
  <si>
    <t>RECAPEAMENTO AV. BEIJA-FLOR</t>
  </si>
  <si>
    <t>2.1.1</t>
  </si>
  <si>
    <t>2.1.2</t>
  </si>
  <si>
    <t>2.1.3</t>
  </si>
  <si>
    <t>2.1.4</t>
  </si>
  <si>
    <t>2.1.5</t>
  </si>
  <si>
    <t>2.2.1</t>
  </si>
  <si>
    <t>2.3.1</t>
  </si>
  <si>
    <t>RECAPEAMENTO AV. JOÃO MEIRA DOS SANTOS</t>
  </si>
  <si>
    <t>3.1.1</t>
  </si>
  <si>
    <t>3.1.2</t>
  </si>
  <si>
    <t>3.1.3</t>
  </si>
  <si>
    <t>3.1.4</t>
  </si>
  <si>
    <t>3.1.5</t>
  </si>
  <si>
    <t>3.2</t>
  </si>
  <si>
    <t>3.2.1</t>
  </si>
  <si>
    <t>3.3</t>
  </si>
  <si>
    <t>3.3.1</t>
  </si>
  <si>
    <t>(876,61 m²  área de pavimento Av. Beija-flor descontando a área de execução de sarjeta)</t>
  </si>
  <si>
    <t>736,00 KM referente a distância da Refinaria em Betim-MG até a obra em Divisa Alegre-MG X 0,44 T emulsão asfáltica para pintura de ligação</t>
  </si>
  <si>
    <t>0,03 m espessura do pavimento X (876,61 m²) área de pintura de ligação</t>
  </si>
  <si>
    <t xml:space="preserve">((1,87+1,75+71,32+65,54+7,83+0,64+0,57+17,48+41,74+68,7+16,63+1,61+1,56) m = comprimento sarjeta Av. Beija-flor) </t>
  </si>
  <si>
    <t xml:space="preserve">((3,50 m comprimento faixas de pedestres x 0,40 m largura X 6 faixas) X 2 unidades ao longo da Avenida Beija-flor) + ((3,00 m comprimento da linha de retenção X 0,40 m largura X 2 linhas) X 2 unidades ao longo da Avenida Beija-flor) </t>
  </si>
  <si>
    <t>(853,09 m²  área de pavimento Av. João Meira dos Santos descontando a área de execução de sarjeta)</t>
  </si>
  <si>
    <t>0,0005 t/m² X (853,09 m²) área de pintura de ligação</t>
  </si>
  <si>
    <t>736,00 KM referente a distância da Refinaria em Betim-MG até a obra em Divisa Alegre-MG X 0,43 T emulsão asfáltica para pintura de ligação</t>
  </si>
  <si>
    <t>0,03 m espessura do pavimento X (853,09 m²) área de pintura de ligação</t>
  </si>
  <si>
    <t>0,0005 t/m² X (876,61 m²) área de pintura de ligação</t>
  </si>
  <si>
    <t>((139,02+32,96+34,87+36,25+0,83+2,3+1,73+28,21+35,84+36,21+22,38+14,92+0,64) m = comprimento sarjeta Av. João Meira dos Santos)</t>
  </si>
  <si>
    <t>((3,50 m comprimento faixas de pedestres x 0,40 m largura X 6 faixas) X 2 unidades ao longo da Av. João Meira dos Santos) + ((3,00 m comprimento da linha de retenção X 0,40 m largura X 2 linhas) X 2 unidades ao longo da Av. João Meira dos Santos)</t>
  </si>
  <si>
    <t>LOCAL: AVENIDA JOÃO MEIRA DOS SANTOS E AVENIDA BEIJA-FLOR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</si>
</sst>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d&quot; de &quot;mmmm&quot; de &quot;yyyy"/>
    <numFmt numFmtId="166" formatCode="#,##0.0"/>
    <numFmt numFmtId="167" formatCode="&quot;R$&quot;\ #,##0.00"/>
    <numFmt numFmtId="168" formatCode="###,##0.00;###,##0.00;* &quot; &quot;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Arial MT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24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3" borderId="0" applyNumberFormat="0" applyBorder="0" applyAlignment="0" applyProtection="0"/>
    <xf numFmtId="0" fontId="11" fillId="0" borderId="0"/>
    <xf numFmtId="0" fontId="13" fillId="4" borderId="0" applyNumberFormat="0" applyBorder="0" applyAlignment="0" applyProtection="0"/>
    <xf numFmtId="9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300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5" fillId="0" borderId="2" xfId="1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4" fillId="0" borderId="11" xfId="0" applyFont="1" applyBorder="1"/>
    <xf numFmtId="0" fontId="4" fillId="0" borderId="12" xfId="0" applyFont="1" applyBorder="1"/>
    <xf numFmtId="0" fontId="5" fillId="0" borderId="1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4" fillId="2" borderId="1" xfId="0" applyFont="1" applyFill="1" applyBorder="1"/>
    <xf numFmtId="0" fontId="4" fillId="2" borderId="17" xfId="0" applyFont="1" applyFill="1" applyBorder="1"/>
    <xf numFmtId="0" fontId="4" fillId="0" borderId="15" xfId="0" applyFont="1" applyBorder="1"/>
    <xf numFmtId="0" fontId="4" fillId="0" borderId="16" xfId="0" applyFont="1" applyBorder="1"/>
    <xf numFmtId="0" fontId="4" fillId="0" borderId="6" xfId="0" applyFont="1" applyBorder="1"/>
    <xf numFmtId="0" fontId="4" fillId="0" borderId="0" xfId="0" applyFont="1" applyAlignment="1">
      <alignment horizontal="center"/>
    </xf>
    <xf numFmtId="0" fontId="10" fillId="5" borderId="1" xfId="4" applyFont="1" applyFill="1" applyBorder="1" applyAlignment="1">
      <alignment horizontal="left" vertical="center" wrapText="1"/>
    </xf>
    <xf numFmtId="0" fontId="10" fillId="5" borderId="1" xfId="4" applyFont="1" applyFill="1" applyBorder="1" applyAlignment="1">
      <alignment horizontal="center" vertical="center" wrapText="1"/>
    </xf>
    <xf numFmtId="10" fontId="12" fillId="5" borderId="2" xfId="6" applyNumberFormat="1" applyFont="1" applyFill="1" applyBorder="1" applyAlignment="1">
      <alignment horizontal="center" vertical="center"/>
    </xf>
    <xf numFmtId="0" fontId="4" fillId="0" borderId="11" xfId="5" applyFont="1" applyBorder="1" applyAlignment="1">
      <alignment horizontal="center"/>
    </xf>
    <xf numFmtId="0" fontId="4" fillId="0" borderId="12" xfId="5" applyFont="1" applyBorder="1" applyAlignment="1">
      <alignment horizontal="center"/>
    </xf>
    <xf numFmtId="0" fontId="0" fillId="6" borderId="0" xfId="0" applyFill="1"/>
    <xf numFmtId="0" fontId="0" fillId="7" borderId="0" xfId="0" applyFill="1"/>
    <xf numFmtId="0" fontId="12" fillId="2" borderId="7" xfId="5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center" vertical="center"/>
    </xf>
    <xf numFmtId="0" fontId="0" fillId="2" borderId="0" xfId="0" applyFill="1"/>
    <xf numFmtId="0" fontId="12" fillId="2" borderId="1" xfId="5" applyFont="1" applyFill="1" applyBorder="1" applyAlignment="1">
      <alignment vertical="center"/>
    </xf>
    <xf numFmtId="2" fontId="12" fillId="2" borderId="2" xfId="6" applyNumberFormat="1" applyFont="1" applyFill="1" applyBorder="1" applyAlignment="1">
      <alignment horizontal="center" vertical="center"/>
    </xf>
    <xf numFmtId="0" fontId="12" fillId="2" borderId="2" xfId="5" applyFont="1" applyFill="1" applyBorder="1" applyAlignment="1">
      <alignment vertical="center"/>
    </xf>
    <xf numFmtId="44" fontId="5" fillId="2" borderId="2" xfId="3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 wrapText="1"/>
    </xf>
    <xf numFmtId="0" fontId="5" fillId="0" borderId="33" xfId="0" applyFont="1" applyBorder="1" applyAlignment="1">
      <alignment horizontal="right" vertical="center" wrapText="1"/>
    </xf>
    <xf numFmtId="44" fontId="5" fillId="0" borderId="34" xfId="3" applyFont="1" applyFill="1" applyBorder="1" applyAlignment="1">
      <alignment horizontal="center" vertical="center" wrapText="1"/>
    </xf>
    <xf numFmtId="44" fontId="4" fillId="0" borderId="0" xfId="3" applyFont="1" applyAlignment="1">
      <alignment vertical="center"/>
    </xf>
    <xf numFmtId="44" fontId="4" fillId="2" borderId="1" xfId="3" applyFont="1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5" fillId="0" borderId="0" xfId="0" applyFont="1"/>
    <xf numFmtId="1" fontId="17" fillId="0" borderId="1" xfId="0" applyNumberFormat="1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2" fontId="4" fillId="2" borderId="0" xfId="0" applyNumberFormat="1" applyFont="1" applyFill="1" applyAlignment="1">
      <alignment vertical="center"/>
    </xf>
    <xf numFmtId="44" fontId="4" fillId="2" borderId="0" xfId="3" applyFont="1" applyFill="1"/>
    <xf numFmtId="2" fontId="6" fillId="2" borderId="1" xfId="2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2" fillId="0" borderId="7" xfId="5" applyFont="1" applyBorder="1" applyAlignment="1">
      <alignment horizontal="center"/>
    </xf>
    <xf numFmtId="0" fontId="2" fillId="0" borderId="1" xfId="5" applyFont="1" applyBorder="1"/>
    <xf numFmtId="0" fontId="2" fillId="0" borderId="1" xfId="5" applyFont="1" applyBorder="1" applyAlignment="1">
      <alignment horizontal="center"/>
    </xf>
    <xf numFmtId="10" fontId="2" fillId="0" borderId="2" xfId="7" applyNumberFormat="1" applyFont="1" applyBorder="1" applyAlignment="1">
      <alignment horizontal="right"/>
    </xf>
    <xf numFmtId="10" fontId="2" fillId="0" borderId="2" xfId="7" applyNumberFormat="1" applyFont="1" applyBorder="1"/>
    <xf numFmtId="10" fontId="2" fillId="0" borderId="2" xfId="7" applyNumberFormat="1" applyFont="1" applyFill="1" applyBorder="1"/>
    <xf numFmtId="10" fontId="2" fillId="5" borderId="2" xfId="7" applyNumberFormat="1" applyFont="1" applyFill="1" applyBorder="1" applyAlignment="1">
      <alignment horizontal="right"/>
    </xf>
    <xf numFmtId="0" fontId="2" fillId="0" borderId="23" xfId="5" applyFont="1" applyBorder="1"/>
    <xf numFmtId="0" fontId="2" fillId="0" borderId="25" xfId="5" applyFont="1" applyBorder="1"/>
    <xf numFmtId="0" fontId="2" fillId="0" borderId="11" xfId="5" applyFont="1" applyBorder="1"/>
    <xf numFmtId="0" fontId="2" fillId="0" borderId="12" xfId="5" applyFont="1" applyBorder="1"/>
    <xf numFmtId="0" fontId="2" fillId="0" borderId="15" xfId="5" applyFont="1" applyBorder="1"/>
    <xf numFmtId="0" fontId="2" fillId="0" borderId="16" xfId="5" applyFont="1" applyBorder="1"/>
    <xf numFmtId="0" fontId="2" fillId="0" borderId="6" xfId="5" applyFont="1" applyBorder="1"/>
    <xf numFmtId="0" fontId="9" fillId="0" borderId="1" xfId="5" applyFont="1" applyBorder="1" applyAlignment="1">
      <alignment horizontal="center" vertical="center"/>
    </xf>
    <xf numFmtId="0" fontId="8" fillId="8" borderId="1" xfId="5" applyFont="1" applyFill="1" applyBorder="1" applyAlignment="1">
      <alignment horizontal="center" vertical="center"/>
    </xf>
    <xf numFmtId="44" fontId="9" fillId="0" borderId="1" xfId="3" applyFont="1" applyBorder="1" applyAlignment="1">
      <alignment horizontal="center" vertical="center"/>
    </xf>
    <xf numFmtId="10" fontId="9" fillId="0" borderId="1" xfId="1" applyNumberFormat="1" applyFont="1" applyBorder="1" applyAlignment="1">
      <alignment horizontal="center" vertical="center"/>
    </xf>
    <xf numFmtId="44" fontId="9" fillId="0" borderId="1" xfId="3" applyFont="1" applyFill="1" applyBorder="1" applyAlignment="1">
      <alignment horizontal="center" vertical="center"/>
    </xf>
    <xf numFmtId="44" fontId="8" fillId="8" borderId="1" xfId="3" applyFont="1" applyFill="1" applyBorder="1" applyAlignment="1">
      <alignment horizontal="center" vertical="center"/>
    </xf>
    <xf numFmtId="0" fontId="8" fillId="5" borderId="30" xfId="5" applyFont="1" applyFill="1" applyBorder="1" applyAlignment="1">
      <alignment horizontal="left" vertical="center" wrapText="1"/>
    </xf>
    <xf numFmtId="0" fontId="8" fillId="5" borderId="31" xfId="5" applyFont="1" applyFill="1" applyBorder="1" applyAlignment="1">
      <alignment horizontal="left" vertical="center" wrapText="1"/>
    </xf>
    <xf numFmtId="167" fontId="9" fillId="0" borderId="0" xfId="8" applyNumberFormat="1" applyFont="1" applyFill="1" applyBorder="1" applyAlignment="1">
      <alignment horizontal="center" vertical="center"/>
    </xf>
    <xf numFmtId="44" fontId="8" fillId="0" borderId="1" xfId="3" applyFont="1" applyBorder="1" applyAlignment="1">
      <alignment horizontal="left" vertical="center"/>
    </xf>
    <xf numFmtId="10" fontId="8" fillId="0" borderId="1" xfId="1" applyNumberFormat="1" applyFont="1" applyBorder="1" applyAlignment="1">
      <alignment horizontal="center" vertical="center"/>
    </xf>
    <xf numFmtId="44" fontId="8" fillId="0" borderId="1" xfId="3" applyFont="1" applyBorder="1" applyAlignment="1">
      <alignment horizontal="center" vertical="center"/>
    </xf>
    <xf numFmtId="10" fontId="8" fillId="0" borderId="1" xfId="5" applyNumberFormat="1" applyFont="1" applyBorder="1" applyAlignment="1">
      <alignment horizontal="center" vertical="center"/>
    </xf>
    <xf numFmtId="10" fontId="9" fillId="0" borderId="0" xfId="8" applyNumberFormat="1" applyFont="1" applyBorder="1" applyAlignment="1">
      <alignment horizontal="center"/>
    </xf>
    <xf numFmtId="49" fontId="9" fillId="0" borderId="0" xfId="8" applyNumberFormat="1" applyFont="1" applyBorder="1" applyAlignment="1">
      <alignment horizontal="center"/>
    </xf>
    <xf numFmtId="0" fontId="12" fillId="0" borderId="10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0" xfId="0" applyFont="1"/>
    <xf numFmtId="0" fontId="15" fillId="0" borderId="0" xfId="0" applyFont="1" applyAlignment="1">
      <alignment vertical="center"/>
    </xf>
    <xf numFmtId="0" fontId="15" fillId="0" borderId="12" xfId="0" applyFont="1" applyBorder="1" applyAlignment="1">
      <alignment vertical="center"/>
    </xf>
    <xf numFmtId="1" fontId="9" fillId="0" borderId="1" xfId="5" applyNumberFormat="1" applyFont="1" applyBorder="1" applyAlignment="1">
      <alignment horizontal="center" vertical="center" wrapText="1"/>
    </xf>
    <xf numFmtId="1" fontId="9" fillId="0" borderId="1" xfId="5" applyNumberFormat="1" applyFont="1" applyBorder="1" applyAlignment="1">
      <alignment horizontal="left" vertical="center" wrapText="1"/>
    </xf>
    <xf numFmtId="1" fontId="9" fillId="0" borderId="1" xfId="8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/>
    <xf numFmtId="0" fontId="5" fillId="0" borderId="0" xfId="0" applyFont="1"/>
    <xf numFmtId="0" fontId="5" fillId="0" borderId="12" xfId="0" applyFont="1" applyBorder="1"/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44" fontId="6" fillId="0" borderId="1" xfId="3" applyFont="1" applyFill="1" applyBorder="1" applyAlignment="1">
      <alignment horizontal="center" vertical="center" wrapText="1"/>
    </xf>
    <xf numFmtId="44" fontId="4" fillId="0" borderId="0" xfId="3" applyFont="1" applyFill="1" applyAlignment="1">
      <alignment vertical="center"/>
    </xf>
    <xf numFmtId="44" fontId="4" fillId="0" borderId="0" xfId="3" applyFont="1" applyFill="1"/>
    <xf numFmtId="0" fontId="5" fillId="2" borderId="1" xfId="0" applyFont="1" applyFill="1" applyBorder="1" applyAlignment="1">
      <alignment horizontal="center" vertical="center" wrapText="1"/>
    </xf>
    <xf numFmtId="4" fontId="4" fillId="0" borderId="0" xfId="0" applyNumberFormat="1" applyFont="1"/>
    <xf numFmtId="4" fontId="6" fillId="0" borderId="0" xfId="0" applyNumberFormat="1" applyFont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165" fontId="9" fillId="0" borderId="28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4" fontId="6" fillId="0" borderId="2" xfId="3" applyFont="1" applyFill="1" applyBorder="1" applyAlignment="1">
      <alignment horizontal="center" vertical="center" wrapText="1"/>
    </xf>
    <xf numFmtId="0" fontId="2" fillId="0" borderId="0" xfId="5" applyFont="1"/>
    <xf numFmtId="165" fontId="2" fillId="0" borderId="0" xfId="0" applyNumberFormat="1" applyFont="1" applyAlignment="1">
      <alignment horizontal="left" vertical="center"/>
    </xf>
    <xf numFmtId="0" fontId="4" fillId="0" borderId="0" xfId="5" applyFont="1" applyAlignment="1">
      <alignment horizontal="center"/>
    </xf>
    <xf numFmtId="0" fontId="8" fillId="7" borderId="35" xfId="5" applyFont="1" applyFill="1" applyBorder="1" applyAlignment="1">
      <alignment horizontal="center" vertical="center"/>
    </xf>
    <xf numFmtId="0" fontId="8" fillId="0" borderId="7" xfId="5" applyFont="1" applyBorder="1" applyAlignment="1">
      <alignment horizontal="center" vertical="center"/>
    </xf>
    <xf numFmtId="0" fontId="8" fillId="8" borderId="2" xfId="5" applyFont="1" applyFill="1" applyBorder="1" applyAlignment="1">
      <alignment horizontal="center" vertical="center"/>
    </xf>
    <xf numFmtId="166" fontId="8" fillId="8" borderId="7" xfId="5" applyNumberFormat="1" applyFont="1" applyFill="1" applyBorder="1" applyAlignment="1">
      <alignment horizontal="center" vertical="center"/>
    </xf>
    <xf numFmtId="10" fontId="8" fillId="8" borderId="2" xfId="1" applyNumberFormat="1" applyFont="1" applyFill="1" applyBorder="1" applyAlignment="1">
      <alignment horizontal="center" vertical="center"/>
    </xf>
    <xf numFmtId="166" fontId="8" fillId="8" borderId="35" xfId="5" applyNumberFormat="1" applyFont="1" applyFill="1" applyBorder="1" applyAlignment="1">
      <alignment horizontal="center" vertical="center"/>
    </xf>
    <xf numFmtId="166" fontId="8" fillId="5" borderId="35" xfId="5" applyNumberFormat="1" applyFont="1" applyFill="1" applyBorder="1" applyAlignment="1">
      <alignment horizontal="center" vertical="center"/>
    </xf>
    <xf numFmtId="167" fontId="8" fillId="0" borderId="0" xfId="5" applyNumberFormat="1" applyFont="1" applyAlignment="1">
      <alignment horizontal="left" vertical="center"/>
    </xf>
    <xf numFmtId="0" fontId="9" fillId="0" borderId="0" xfId="5" applyFont="1" applyAlignment="1">
      <alignment horizontal="left" vertical="center"/>
    </xf>
    <xf numFmtId="10" fontId="9" fillId="0" borderId="0" xfId="5" applyNumberFormat="1" applyFont="1" applyAlignment="1">
      <alignment horizontal="center" vertical="center"/>
    </xf>
    <xf numFmtId="10" fontId="6" fillId="0" borderId="12" xfId="5" applyNumberFormat="1" applyFont="1" applyBorder="1" applyAlignment="1">
      <alignment horizontal="center" vertical="center"/>
    </xf>
    <xf numFmtId="166" fontId="8" fillId="0" borderId="7" xfId="5" applyNumberFormat="1" applyFont="1" applyBorder="1" applyAlignment="1">
      <alignment horizontal="center" vertical="center"/>
    </xf>
    <xf numFmtId="10" fontId="8" fillId="0" borderId="2" xfId="5" applyNumberFormat="1" applyFont="1" applyBorder="1" applyAlignment="1">
      <alignment horizontal="center" vertical="center"/>
    </xf>
    <xf numFmtId="10" fontId="8" fillId="0" borderId="2" xfId="8" applyNumberFormat="1" applyFont="1" applyBorder="1" applyAlignment="1">
      <alignment horizontal="center" vertical="center"/>
    </xf>
    <xf numFmtId="166" fontId="8" fillId="0" borderId="11" xfId="5" applyNumberFormat="1" applyFont="1" applyBorder="1" applyAlignment="1">
      <alignment horizontal="center"/>
    </xf>
    <xf numFmtId="0" fontId="9" fillId="0" borderId="0" xfId="5" applyFont="1" applyAlignment="1">
      <alignment horizontal="left"/>
    </xf>
    <xf numFmtId="168" fontId="9" fillId="0" borderId="0" xfId="5" applyNumberFormat="1" applyFont="1" applyAlignment="1">
      <alignment horizontal="center"/>
    </xf>
    <xf numFmtId="168" fontId="6" fillId="0" borderId="12" xfId="5" applyNumberFormat="1" applyFont="1" applyBorder="1" applyAlignment="1">
      <alignment horizontal="center"/>
    </xf>
    <xf numFmtId="0" fontId="9" fillId="0" borderId="11" xfId="5" applyFont="1" applyBorder="1" applyAlignment="1">
      <alignment horizontal="center"/>
    </xf>
    <xf numFmtId="0" fontId="9" fillId="0" borderId="0" xfId="5" applyFont="1"/>
    <xf numFmtId="0" fontId="9" fillId="0" borderId="12" xfId="5" applyFont="1" applyBorder="1"/>
    <xf numFmtId="0" fontId="16" fillId="0" borderId="0" xfId="5" applyFont="1" applyAlignment="1">
      <alignment horizontal="center" vertical="center"/>
    </xf>
    <xf numFmtId="167" fontId="16" fillId="0" borderId="0" xfId="5" applyNumberFormat="1" applyFont="1" applyAlignment="1">
      <alignment horizontal="center" vertical="center"/>
    </xf>
    <xf numFmtId="167" fontId="16" fillId="0" borderId="12" xfId="5" applyNumberFormat="1" applyFont="1" applyBorder="1" applyAlignment="1">
      <alignment horizontal="center" vertical="center"/>
    </xf>
    <xf numFmtId="0" fontId="16" fillId="0" borderId="12" xfId="5" applyFont="1" applyBorder="1" applyAlignment="1">
      <alignment horizontal="center" vertical="center"/>
    </xf>
    <xf numFmtId="0" fontId="9" fillId="0" borderId="11" xfId="0" applyFont="1" applyBorder="1"/>
    <xf numFmtId="0" fontId="8" fillId="0" borderId="11" xfId="0" applyFont="1" applyBorder="1"/>
    <xf numFmtId="0" fontId="9" fillId="0" borderId="15" xfId="0" applyFont="1" applyBorder="1"/>
    <xf numFmtId="0" fontId="6" fillId="0" borderId="16" xfId="0" applyFont="1" applyBorder="1" applyAlignment="1">
      <alignment horizontal="center" vertical="center"/>
    </xf>
    <xf numFmtId="0" fontId="9" fillId="0" borderId="16" xfId="0" applyFont="1" applyBorder="1"/>
    <xf numFmtId="0" fontId="9" fillId="0" borderId="6" xfId="0" applyFont="1" applyBorder="1"/>
    <xf numFmtId="0" fontId="6" fillId="0" borderId="17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4" fontId="4" fillId="0" borderId="0" xfId="0" applyNumberFormat="1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/>
    <xf numFmtId="44" fontId="5" fillId="2" borderId="1" xfId="3" applyFont="1" applyFill="1" applyBorder="1" applyAlignment="1">
      <alignment horizontal="left" vertical="center" wrapText="1"/>
    </xf>
    <xf numFmtId="44" fontId="5" fillId="2" borderId="2" xfId="3" applyFont="1" applyFill="1" applyBorder="1" applyAlignment="1">
      <alignment horizontal="left" vertical="center" wrapText="1"/>
    </xf>
    <xf numFmtId="0" fontId="6" fillId="0" borderId="26" xfId="3" applyNumberFormat="1" applyFont="1" applyFill="1" applyBorder="1" applyAlignment="1">
      <alignment horizontal="left" vertical="center" wrapText="1"/>
    </xf>
    <xf numFmtId="0" fontId="6" fillId="0" borderId="27" xfId="3" applyNumberFormat="1" applyFont="1" applyFill="1" applyBorder="1" applyAlignment="1">
      <alignment horizontal="left" vertical="center" wrapText="1"/>
    </xf>
    <xf numFmtId="0" fontId="6" fillId="0" borderId="37" xfId="3" applyNumberFormat="1" applyFont="1" applyFill="1" applyBorder="1" applyAlignment="1">
      <alignment horizontal="left" vertical="center" wrapText="1"/>
    </xf>
    <xf numFmtId="44" fontId="6" fillId="0" borderId="26" xfId="3" applyFont="1" applyFill="1" applyBorder="1" applyAlignment="1">
      <alignment horizontal="left" vertical="center" wrapText="1"/>
    </xf>
    <xf numFmtId="44" fontId="6" fillId="0" borderId="27" xfId="3" applyFont="1" applyFill="1" applyBorder="1" applyAlignment="1">
      <alignment horizontal="left" vertical="center" wrapText="1"/>
    </xf>
    <xf numFmtId="44" fontId="6" fillId="0" borderId="37" xfId="3" applyFont="1" applyFill="1" applyBorder="1" applyAlignment="1">
      <alignment horizontal="left" vertical="center" wrapText="1"/>
    </xf>
    <xf numFmtId="44" fontId="6" fillId="0" borderId="1" xfId="3" applyFont="1" applyFill="1" applyBorder="1" applyAlignment="1">
      <alignment horizontal="left" vertical="center" wrapText="1"/>
    </xf>
    <xf numFmtId="44" fontId="6" fillId="0" borderId="2" xfId="3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left" vertical="center" wrapText="1"/>
    </xf>
    <xf numFmtId="0" fontId="6" fillId="0" borderId="2" xfId="3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5" fillId="2" borderId="1" xfId="3" applyFont="1" applyFill="1" applyBorder="1" applyAlignment="1">
      <alignment horizontal="center" vertical="center" wrapText="1"/>
    </xf>
    <xf numFmtId="44" fontId="5" fillId="2" borderId="2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5" fillId="7" borderId="41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5" fillId="0" borderId="11" xfId="5" applyFont="1" applyBorder="1" applyAlignment="1">
      <alignment horizontal="center"/>
    </xf>
    <xf numFmtId="0" fontId="15" fillId="0" borderId="0" xfId="5" applyFont="1" applyAlignment="1">
      <alignment horizontal="center"/>
    </xf>
    <xf numFmtId="0" fontId="15" fillId="0" borderId="12" xfId="5" applyFont="1" applyBorder="1" applyAlignment="1">
      <alignment horizontal="center"/>
    </xf>
    <xf numFmtId="0" fontId="4" fillId="0" borderId="11" xfId="5" applyFont="1" applyBorder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4" fillId="0" borderId="12" xfId="5" applyFont="1" applyBorder="1" applyAlignment="1">
      <alignment horizontal="left" vertical="center"/>
    </xf>
    <xf numFmtId="0" fontId="12" fillId="7" borderId="7" xfId="6" applyFont="1" applyFill="1" applyBorder="1" applyAlignment="1">
      <alignment horizontal="center" vertical="center"/>
    </xf>
    <xf numFmtId="0" fontId="12" fillId="7" borderId="1" xfId="6" applyFont="1" applyFill="1" applyBorder="1" applyAlignment="1">
      <alignment horizontal="center" vertical="center"/>
    </xf>
    <xf numFmtId="0" fontId="12" fillId="7" borderId="2" xfId="6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center" vertical="center"/>
    </xf>
    <xf numFmtId="0" fontId="12" fillId="2" borderId="2" xfId="5" applyFont="1" applyFill="1" applyBorder="1" applyAlignment="1">
      <alignment horizontal="center" vertical="center"/>
    </xf>
    <xf numFmtId="0" fontId="14" fillId="5" borderId="7" xfId="4" applyFont="1" applyFill="1" applyBorder="1" applyAlignment="1">
      <alignment horizontal="center" vertical="center"/>
    </xf>
    <xf numFmtId="0" fontId="14" fillId="5" borderId="1" xfId="4" applyFont="1" applyFill="1" applyBorder="1" applyAlignment="1">
      <alignment horizontal="center" vertical="center"/>
    </xf>
    <xf numFmtId="0" fontId="2" fillId="0" borderId="24" xfId="5" applyFont="1" applyBorder="1" applyAlignment="1">
      <alignment horizontal="center" wrapText="1"/>
    </xf>
    <xf numFmtId="0" fontId="2" fillId="0" borderId="11" xfId="5" applyFont="1" applyBorder="1" applyAlignment="1">
      <alignment horizontal="center"/>
    </xf>
    <xf numFmtId="0" fontId="2" fillId="0" borderId="0" xfId="5" applyFont="1" applyAlignment="1">
      <alignment horizontal="center"/>
    </xf>
    <xf numFmtId="0" fontId="2" fillId="0" borderId="12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 wrapText="1"/>
    </xf>
    <xf numFmtId="0" fontId="4" fillId="0" borderId="0" xfId="5" applyFont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0" fontId="12" fillId="0" borderId="7" xfId="5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0" fontId="12" fillId="0" borderId="2" xfId="5" applyFont="1" applyBorder="1" applyAlignment="1">
      <alignment horizontal="left" vertical="center" wrapText="1"/>
    </xf>
    <xf numFmtId="0" fontId="12" fillId="6" borderId="41" xfId="5" applyFont="1" applyFill="1" applyBorder="1" applyAlignment="1">
      <alignment horizontal="center" vertical="center"/>
    </xf>
    <xf numFmtId="0" fontId="12" fillId="6" borderId="42" xfId="5" applyFont="1" applyFill="1" applyBorder="1" applyAlignment="1">
      <alignment horizontal="center" vertical="center"/>
    </xf>
    <xf numFmtId="0" fontId="12" fillId="6" borderId="43" xfId="5" applyFont="1" applyFill="1" applyBorder="1" applyAlignment="1">
      <alignment horizontal="center" vertical="center"/>
    </xf>
    <xf numFmtId="0" fontId="12" fillId="7" borderId="35" xfId="5" applyFont="1" applyFill="1" applyBorder="1" applyAlignment="1">
      <alignment horizontal="left" vertical="center" wrapText="1"/>
    </xf>
    <xf numFmtId="0" fontId="12" fillId="7" borderId="29" xfId="5" applyFont="1" applyFill="1" applyBorder="1" applyAlignment="1">
      <alignment horizontal="left" vertical="center" wrapText="1"/>
    </xf>
    <xf numFmtId="0" fontId="12" fillId="7" borderId="36" xfId="5" applyFont="1" applyFill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center"/>
    </xf>
    <xf numFmtId="0" fontId="9" fillId="0" borderId="11" xfId="5" applyFont="1" applyBorder="1" applyAlignment="1">
      <alignment horizontal="center"/>
    </xf>
    <xf numFmtId="0" fontId="9" fillId="0" borderId="0" xfId="5" applyFont="1" applyAlignment="1">
      <alignment horizontal="center"/>
    </xf>
    <xf numFmtId="0" fontId="8" fillId="7" borderId="41" xfId="5" applyFont="1" applyFill="1" applyBorder="1" applyAlignment="1">
      <alignment horizontal="center" vertical="center"/>
    </xf>
    <xf numFmtId="0" fontId="8" fillId="7" borderId="42" xfId="5" applyFont="1" applyFill="1" applyBorder="1" applyAlignment="1">
      <alignment horizontal="center" vertical="center"/>
    </xf>
    <xf numFmtId="0" fontId="8" fillId="7" borderId="43" xfId="5" applyFont="1" applyFill="1" applyBorder="1" applyAlignment="1">
      <alignment horizontal="center" vertical="center"/>
    </xf>
    <xf numFmtId="0" fontId="5" fillId="0" borderId="47" xfId="5" applyFont="1" applyBorder="1" applyAlignment="1">
      <alignment horizontal="left" vertical="center" wrapText="1"/>
    </xf>
    <xf numFmtId="0" fontId="5" fillId="0" borderId="40" xfId="5" applyFont="1" applyBorder="1" applyAlignment="1">
      <alignment horizontal="left" vertical="center" wrapText="1"/>
    </xf>
    <xf numFmtId="0" fontId="5" fillId="0" borderId="48" xfId="5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34" xfId="5" applyFont="1" applyBorder="1" applyAlignment="1">
      <alignment horizontal="left" vertical="center" wrapText="1"/>
    </xf>
    <xf numFmtId="0" fontId="5" fillId="0" borderId="39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37" xfId="5" applyFont="1" applyBorder="1" applyAlignment="1">
      <alignment horizontal="left" vertical="center" wrapText="1"/>
    </xf>
    <xf numFmtId="0" fontId="8" fillId="8" borderId="1" xfId="5" applyFont="1" applyFill="1" applyBorder="1" applyAlignment="1">
      <alignment horizontal="left" vertical="center" wrapText="1"/>
    </xf>
    <xf numFmtId="0" fontId="8" fillId="7" borderId="29" xfId="5" applyFont="1" applyFill="1" applyBorder="1" applyAlignment="1">
      <alignment horizontal="center" vertical="center"/>
    </xf>
    <xf numFmtId="0" fontId="5" fillId="0" borderId="39" xfId="5" applyFont="1" applyBorder="1" applyAlignment="1">
      <alignment horizontal="left" vertical="center"/>
    </xf>
    <xf numFmtId="0" fontId="5" fillId="0" borderId="27" xfId="5" applyFont="1" applyBorder="1" applyAlignment="1">
      <alignment horizontal="left" vertical="center"/>
    </xf>
    <xf numFmtId="0" fontId="5" fillId="0" borderId="17" xfId="5" applyFont="1" applyBorder="1" applyAlignment="1">
      <alignment horizontal="left" vertical="center"/>
    </xf>
    <xf numFmtId="0" fontId="5" fillId="0" borderId="17" xfId="5" applyFont="1" applyBorder="1" applyAlignment="1">
      <alignment horizontal="left" vertical="center" wrapText="1"/>
    </xf>
    <xf numFmtId="0" fontId="9" fillId="0" borderId="0" xfId="5" applyFont="1" applyAlignment="1">
      <alignment horizontal="right"/>
    </xf>
    <xf numFmtId="0" fontId="9" fillId="0" borderId="38" xfId="5" applyFont="1" applyBorder="1" applyAlignment="1">
      <alignment horizontal="right"/>
    </xf>
    <xf numFmtId="0" fontId="6" fillId="0" borderId="16" xfId="0" applyFont="1" applyBorder="1" applyAlignment="1">
      <alignment horizontal="center" vertical="center"/>
    </xf>
    <xf numFmtId="0" fontId="8" fillId="7" borderId="36" xfId="5" applyFont="1" applyFill="1" applyBorder="1" applyAlignment="1">
      <alignment horizontal="center" vertical="center"/>
    </xf>
    <xf numFmtId="0" fontId="8" fillId="0" borderId="1" xfId="5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0" xfId="5" applyFont="1" applyAlignment="1">
      <alignment horizontal="center" vertical="center" wrapText="1"/>
    </xf>
    <xf numFmtId="0" fontId="16" fillId="0" borderId="0" xfId="5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9">
    <cellStyle name="20% - Ênfase1" xfId="4" builtinId="30"/>
    <cellStyle name="60% - Ênfase1 2" xfId="6" xr:uid="{00000000-0005-0000-0000-000001000000}"/>
    <cellStyle name="Moeda" xfId="3" builtinId="4"/>
    <cellStyle name="Normal" xfId="0" builtinId="0"/>
    <cellStyle name="Normal 2" xfId="5" xr:uid="{00000000-0005-0000-0000-000004000000}"/>
    <cellStyle name="Porcentagem" xfId="1" builtinId="5"/>
    <cellStyle name="Porcentagem 2 2" xfId="7" xr:uid="{00000000-0005-0000-0000-000006000000}"/>
    <cellStyle name="Vírgula" xfId="2" builtinId="3"/>
    <cellStyle name="Vírgula 2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100853</xdr:colOff>
      <xdr:row>0</xdr:row>
      <xdr:rowOff>156882</xdr:rowOff>
    </xdr:from>
    <xdr:to>
      <xdr:col>3</xdr:col>
      <xdr:colOff>250371</xdr:colOff>
      <xdr:row>0</xdr:row>
      <xdr:rowOff>1055818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C52F30D0-EAA2-4DBC-8749-660EF384D1D9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3453" y="156882"/>
          <a:ext cx="941998" cy="898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493074</xdr:colOff>
      <xdr:row>0</xdr:row>
      <xdr:rowOff>124196</xdr:rowOff>
    </xdr:from>
    <xdr:to>
      <xdr:col>8</xdr:col>
      <xdr:colOff>991528</xdr:colOff>
      <xdr:row>0</xdr:row>
      <xdr:rowOff>981446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48D5DBE-6EF2-4A0E-B12B-5B65BE384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0874" y="124196"/>
          <a:ext cx="2540614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100853</xdr:colOff>
      <xdr:row>0</xdr:row>
      <xdr:rowOff>156882</xdr:rowOff>
    </xdr:from>
    <xdr:to>
      <xdr:col>3</xdr:col>
      <xdr:colOff>250371</xdr:colOff>
      <xdr:row>0</xdr:row>
      <xdr:rowOff>1055818</xdr:rowOff>
    </xdr:to>
    <xdr:pic>
      <xdr:nvPicPr>
        <xdr:cNvPr id="11" name="Imagem 4">
          <a:extLst>
            <a:ext uri="{FF2B5EF4-FFF2-40B4-BE49-F238E27FC236}">
              <a16:creationId xmlns:a16="http://schemas.microsoft.com/office/drawing/2014/main" id="{77F4C05A-CED1-4F9D-9501-B469881A7C75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167" y="156882"/>
          <a:ext cx="944175" cy="898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493074</xdr:colOff>
      <xdr:row>0</xdr:row>
      <xdr:rowOff>124196</xdr:rowOff>
    </xdr:from>
    <xdr:to>
      <xdr:col>8</xdr:col>
      <xdr:colOff>991528</xdr:colOff>
      <xdr:row>0</xdr:row>
      <xdr:rowOff>981446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8275A93D-0841-4BEE-8023-48523AA55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474" y="124196"/>
          <a:ext cx="2544968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192156</xdr:colOff>
      <xdr:row>0</xdr:row>
      <xdr:rowOff>178904</xdr:rowOff>
    </xdr:from>
    <xdr:to>
      <xdr:col>0</xdr:col>
      <xdr:colOff>755879</xdr:colOff>
      <xdr:row>1</xdr:row>
      <xdr:rowOff>510208</xdr:rowOff>
    </xdr:to>
    <xdr:pic>
      <xdr:nvPicPr>
        <xdr:cNvPr id="7" name="Imagem 4">
          <a:extLst>
            <a:ext uri="{FF2B5EF4-FFF2-40B4-BE49-F238E27FC236}">
              <a16:creationId xmlns:a16="http://schemas.microsoft.com/office/drawing/2014/main" id="{B7C066A6-B131-4138-BE25-167E15A8C34F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156" y="178904"/>
          <a:ext cx="563723" cy="536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3703982</xdr:colOff>
      <xdr:row>0</xdr:row>
      <xdr:rowOff>159027</xdr:rowOff>
    </xdr:from>
    <xdr:to>
      <xdr:col>3</xdr:col>
      <xdr:colOff>713964</xdr:colOff>
      <xdr:row>1</xdr:row>
      <xdr:rowOff>430696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8E0A4C6A-5F9C-4438-844D-757C6A526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6921" y="159027"/>
          <a:ext cx="1416330" cy="4770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371364</xdr:colOff>
      <xdr:row>0</xdr:row>
      <xdr:rowOff>187361</xdr:rowOff>
    </xdr:from>
    <xdr:to>
      <xdr:col>2</xdr:col>
      <xdr:colOff>259080</xdr:colOff>
      <xdr:row>0</xdr:row>
      <xdr:rowOff>1009494</xdr:rowOff>
    </xdr:to>
    <xdr:pic>
      <xdr:nvPicPr>
        <xdr:cNvPr id="8" name="Imagem 4">
          <a:extLst>
            <a:ext uri="{FF2B5EF4-FFF2-40B4-BE49-F238E27FC236}">
              <a16:creationId xmlns:a16="http://schemas.microsoft.com/office/drawing/2014/main" id="{C93801DD-F4A8-4E20-AD48-015D3C4226DB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364" y="187361"/>
          <a:ext cx="1053576" cy="822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536938</xdr:colOff>
      <xdr:row>0</xdr:row>
      <xdr:rowOff>255542</xdr:rowOff>
    </xdr:from>
    <xdr:to>
      <xdr:col>12</xdr:col>
      <xdr:colOff>324301</xdr:colOff>
      <xdr:row>0</xdr:row>
      <xdr:rowOff>845819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C52022FC-F34E-4BD4-804C-E848D1891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9398" y="255542"/>
          <a:ext cx="1776183" cy="5902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88900</xdr:rowOff>
    </xdr:from>
    <xdr:to>
      <xdr:col>14</xdr:col>
      <xdr:colOff>281940</xdr:colOff>
      <xdr:row>20</xdr:row>
      <xdr:rowOff>48828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B1D388F-4DB1-43D5-B383-1B356651E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88900"/>
          <a:ext cx="8702040" cy="32619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FE29D-79CF-42B8-8E2F-85F76D6AE1CB}">
  <sheetPr>
    <pageSetUpPr fitToPage="1"/>
  </sheetPr>
  <dimension ref="A1:Q72"/>
  <sheetViews>
    <sheetView showGridLines="0" showZeros="0" view="pageBreakPreview" zoomScale="70" zoomScaleNormal="100" zoomScaleSheetLayoutView="70" workbookViewId="0">
      <selection activeCell="K5" sqref="K5"/>
    </sheetView>
  </sheetViews>
  <sheetFormatPr defaultColWidth="9.109375" defaultRowHeight="13.2"/>
  <cols>
    <col min="1" max="1" width="10.44140625" style="1" customWidth="1"/>
    <col min="2" max="2" width="15.109375" style="1" customWidth="1"/>
    <col min="3" max="3" width="11.5546875" style="1" bestFit="1" customWidth="1"/>
    <col min="4" max="4" width="73.5546875" style="1" customWidth="1"/>
    <col min="5" max="5" width="12.77734375" style="1" customWidth="1"/>
    <col min="6" max="6" width="17.33203125" style="1" customWidth="1"/>
    <col min="7" max="8" width="14.88671875" style="1" bestFit="1" customWidth="1"/>
    <col min="9" max="9" width="42.88671875" style="1" customWidth="1"/>
    <col min="10" max="10" width="10.5546875" style="1" customWidth="1"/>
    <col min="11" max="11" width="15" style="1" bestFit="1" customWidth="1"/>
    <col min="12" max="12" width="17.44140625" style="1" bestFit="1" customWidth="1"/>
    <col min="13" max="14" width="11.21875" style="1" bestFit="1" customWidth="1"/>
    <col min="15" max="16384" width="9.109375" style="1"/>
  </cols>
  <sheetData>
    <row r="1" spans="1:17" ht="93" customHeight="1" thickBot="1">
      <c r="A1" s="203" t="s">
        <v>74</v>
      </c>
      <c r="B1" s="204"/>
      <c r="C1" s="204"/>
      <c r="D1" s="204"/>
      <c r="E1" s="204"/>
      <c r="F1" s="204"/>
      <c r="G1" s="204"/>
      <c r="H1" s="204"/>
      <c r="I1" s="205"/>
      <c r="J1" s="21"/>
      <c r="K1" s="20"/>
    </row>
    <row r="2" spans="1:17" ht="21.75" customHeight="1" thickBot="1">
      <c r="A2" s="206" t="s">
        <v>70</v>
      </c>
      <c r="B2" s="207"/>
      <c r="C2" s="207"/>
      <c r="D2" s="207"/>
      <c r="E2" s="207"/>
      <c r="F2" s="207"/>
      <c r="G2" s="207"/>
      <c r="H2" s="207"/>
      <c r="I2" s="208"/>
    </row>
    <row r="3" spans="1:17" ht="20.100000000000001" customHeight="1">
      <c r="A3" s="209" t="s">
        <v>91</v>
      </c>
      <c r="B3" s="210"/>
      <c r="C3" s="210"/>
      <c r="D3" s="210"/>
      <c r="E3" s="210"/>
      <c r="F3" s="210"/>
      <c r="G3" s="211" t="s">
        <v>17</v>
      </c>
      <c r="H3" s="211"/>
      <c r="I3" s="212"/>
    </row>
    <row r="4" spans="1:17" ht="36" customHeight="1">
      <c r="A4" s="213" t="s">
        <v>103</v>
      </c>
      <c r="B4" s="214"/>
      <c r="C4" s="214"/>
      <c r="D4" s="214"/>
      <c r="E4" s="214"/>
      <c r="F4" s="214"/>
      <c r="G4" s="6" t="s">
        <v>92</v>
      </c>
      <c r="H4" s="215">
        <f ca="1">TODAY()</f>
        <v>45952</v>
      </c>
      <c r="I4" s="216"/>
    </row>
    <row r="5" spans="1:17" ht="15.6">
      <c r="A5" s="197" t="s">
        <v>135</v>
      </c>
      <c r="B5" s="198"/>
      <c r="C5" s="198"/>
      <c r="D5" s="198"/>
      <c r="E5" s="198"/>
      <c r="F5" s="199" t="s">
        <v>10</v>
      </c>
      <c r="G5" s="199"/>
      <c r="H5" s="199"/>
      <c r="I5" s="200"/>
    </row>
    <row r="6" spans="1:17" ht="31.8" customHeight="1">
      <c r="A6" s="201" t="s">
        <v>100</v>
      </c>
      <c r="B6" s="202"/>
      <c r="C6" s="202"/>
      <c r="D6" s="202"/>
      <c r="E6" s="202"/>
      <c r="F6" s="199" t="s">
        <v>8</v>
      </c>
      <c r="G6" s="199" t="s">
        <v>6</v>
      </c>
      <c r="H6" s="6" t="s">
        <v>80</v>
      </c>
      <c r="I6" s="49" t="s">
        <v>7</v>
      </c>
    </row>
    <row r="7" spans="1:17" ht="20.100000000000001" customHeight="1">
      <c r="A7" s="197" t="s">
        <v>104</v>
      </c>
      <c r="B7" s="198"/>
      <c r="C7" s="198"/>
      <c r="D7" s="198"/>
      <c r="E7" s="198"/>
      <c r="F7" s="199"/>
      <c r="G7" s="199"/>
      <c r="H7" s="7" t="s">
        <v>21</v>
      </c>
      <c r="I7" s="10">
        <f>BDI!D22</f>
        <v>0.24429999999999999</v>
      </c>
    </row>
    <row r="8" spans="1:17" ht="46.8" customHeight="1">
      <c r="A8" s="125" t="s">
        <v>0</v>
      </c>
      <c r="B8" s="6" t="s">
        <v>82</v>
      </c>
      <c r="C8" s="6" t="s">
        <v>5</v>
      </c>
      <c r="D8" s="6" t="s">
        <v>1</v>
      </c>
      <c r="E8" s="6" t="s">
        <v>3</v>
      </c>
      <c r="F8" s="6" t="s">
        <v>2</v>
      </c>
      <c r="G8" s="189" t="s">
        <v>90</v>
      </c>
      <c r="H8" s="189"/>
      <c r="I8" s="190"/>
    </row>
    <row r="9" spans="1:17" s="59" customFormat="1" ht="18" customHeight="1">
      <c r="A9" s="54">
        <v>1</v>
      </c>
      <c r="B9" s="114"/>
      <c r="C9" s="55"/>
      <c r="D9" s="56" t="s">
        <v>20</v>
      </c>
      <c r="E9" s="62"/>
      <c r="F9" s="58"/>
      <c r="G9" s="191"/>
      <c r="H9" s="191"/>
      <c r="I9" s="192"/>
    </row>
    <row r="10" spans="1:17" ht="30">
      <c r="A10" s="11" t="s">
        <v>12</v>
      </c>
      <c r="B10" s="8" t="s">
        <v>88</v>
      </c>
      <c r="C10" s="8">
        <v>103689</v>
      </c>
      <c r="D10" s="9" t="s">
        <v>73</v>
      </c>
      <c r="E10" s="4" t="s">
        <v>11</v>
      </c>
      <c r="F10" s="42">
        <f>ROUND((1.5*3),2)</f>
        <v>4.5</v>
      </c>
      <c r="G10" s="176" t="s">
        <v>93</v>
      </c>
      <c r="H10" s="176"/>
      <c r="I10" s="177"/>
      <c r="K10" s="46"/>
    </row>
    <row r="11" spans="1:17" s="59" customFormat="1" ht="15.6">
      <c r="A11" s="54">
        <v>2</v>
      </c>
      <c r="B11" s="114"/>
      <c r="C11" s="55"/>
      <c r="D11" s="56" t="s">
        <v>105</v>
      </c>
      <c r="E11" s="57"/>
      <c r="F11" s="58"/>
      <c r="G11" s="168"/>
      <c r="H11" s="168"/>
      <c r="I11" s="169"/>
      <c r="K11" s="58"/>
      <c r="L11" s="58"/>
      <c r="M11" s="116"/>
      <c r="N11" s="116"/>
      <c r="O11" s="115"/>
    </row>
    <row r="12" spans="1:17" s="59" customFormat="1" ht="15.6">
      <c r="A12" s="54" t="s">
        <v>13</v>
      </c>
      <c r="B12" s="114"/>
      <c r="C12" s="55"/>
      <c r="D12" s="56" t="s">
        <v>72</v>
      </c>
      <c r="E12" s="57"/>
      <c r="F12" s="58"/>
      <c r="G12" s="168"/>
      <c r="H12" s="168"/>
      <c r="I12" s="169"/>
      <c r="K12" s="58"/>
      <c r="L12" s="58"/>
      <c r="M12" s="116"/>
      <c r="N12" s="116"/>
      <c r="O12" s="115"/>
    </row>
    <row r="13" spans="1:17" ht="30">
      <c r="A13" s="11" t="s">
        <v>106</v>
      </c>
      <c r="B13" s="99" t="s">
        <v>87</v>
      </c>
      <c r="C13" s="99" t="s">
        <v>83</v>
      </c>
      <c r="D13" s="100" t="s">
        <v>84</v>
      </c>
      <c r="E13" s="101" t="s">
        <v>11</v>
      </c>
      <c r="F13" s="5">
        <f>ROUND((876.61),2)</f>
        <v>876.61</v>
      </c>
      <c r="G13" s="170" t="s">
        <v>123</v>
      </c>
      <c r="H13" s="171"/>
      <c r="I13" s="172"/>
      <c r="K13" s="42"/>
      <c r="L13" s="42">
        <f>F13+F24</f>
        <v>1729.7</v>
      </c>
      <c r="M13" s="42"/>
      <c r="N13" s="42"/>
      <c r="O13" s="116"/>
      <c r="P13" s="116"/>
      <c r="Q13" s="115"/>
    </row>
    <row r="14" spans="1:17" ht="20.399999999999999" customHeight="1">
      <c r="A14" s="11" t="s">
        <v>107</v>
      </c>
      <c r="B14" s="99" t="s">
        <v>85</v>
      </c>
      <c r="C14" s="99"/>
      <c r="D14" s="100" t="s">
        <v>86</v>
      </c>
      <c r="E14" s="101" t="s">
        <v>46</v>
      </c>
      <c r="F14" s="42">
        <f>ROUND((0.0005*F13),2)</f>
        <v>0.44</v>
      </c>
      <c r="G14" s="173" t="s">
        <v>132</v>
      </c>
      <c r="H14" s="174"/>
      <c r="I14" s="175"/>
      <c r="K14" s="42"/>
      <c r="L14" s="42">
        <f t="shared" ref="L14:L21" si="0">F14+F25</f>
        <v>0.87</v>
      </c>
      <c r="M14" s="42"/>
      <c r="N14" s="42"/>
      <c r="O14" s="116"/>
      <c r="P14" s="116"/>
      <c r="Q14" s="115"/>
    </row>
    <row r="15" spans="1:17" ht="60">
      <c r="A15" s="11" t="s">
        <v>108</v>
      </c>
      <c r="B15" s="162" t="s">
        <v>88</v>
      </c>
      <c r="C15" s="8">
        <v>102331</v>
      </c>
      <c r="D15" s="9" t="s">
        <v>89</v>
      </c>
      <c r="E15" s="4" t="s">
        <v>19</v>
      </c>
      <c r="F15" s="42">
        <f>ROUND((736*F14),2)</f>
        <v>323.83999999999997</v>
      </c>
      <c r="G15" s="173" t="s">
        <v>124</v>
      </c>
      <c r="H15" s="174"/>
      <c r="I15" s="175"/>
      <c r="K15" s="42"/>
      <c r="L15" s="42">
        <f t="shared" si="0"/>
        <v>640.31999999999994</v>
      </c>
      <c r="M15" s="42"/>
      <c r="N15" s="42"/>
      <c r="O15" s="116"/>
      <c r="P15" s="116"/>
      <c r="Q15" s="115"/>
    </row>
    <row r="16" spans="1:17" ht="71.400000000000006" customHeight="1">
      <c r="A16" s="11" t="s">
        <v>109</v>
      </c>
      <c r="B16" s="162" t="s">
        <v>87</v>
      </c>
      <c r="C16" s="8" t="s">
        <v>95</v>
      </c>
      <c r="D16" s="9" t="s">
        <v>96</v>
      </c>
      <c r="E16" s="4" t="s">
        <v>18</v>
      </c>
      <c r="F16" s="5">
        <f>ROUND((0.03*F13),2)</f>
        <v>26.3</v>
      </c>
      <c r="G16" s="176" t="s">
        <v>125</v>
      </c>
      <c r="H16" s="176"/>
      <c r="I16" s="177"/>
      <c r="K16" s="42"/>
      <c r="L16" s="42">
        <f t="shared" si="0"/>
        <v>51.89</v>
      </c>
      <c r="M16" s="116"/>
      <c r="N16" s="116"/>
      <c r="O16" s="123"/>
    </row>
    <row r="17" spans="1:17" ht="45" customHeight="1">
      <c r="A17" s="11" t="s">
        <v>110</v>
      </c>
      <c r="B17" s="162" t="s">
        <v>88</v>
      </c>
      <c r="C17" s="8">
        <v>95427</v>
      </c>
      <c r="D17" s="9" t="s">
        <v>97</v>
      </c>
      <c r="E17" s="4" t="s">
        <v>98</v>
      </c>
      <c r="F17" s="42">
        <f>ROUND((114*F16),2)</f>
        <v>2998.2</v>
      </c>
      <c r="G17" s="173" t="s">
        <v>99</v>
      </c>
      <c r="H17" s="174"/>
      <c r="I17" s="175"/>
      <c r="K17" s="42"/>
      <c r="L17" s="42">
        <f t="shared" si="0"/>
        <v>5915.46</v>
      </c>
      <c r="M17" s="116"/>
      <c r="N17" s="116"/>
      <c r="O17" s="123"/>
    </row>
    <row r="18" spans="1:17" s="59" customFormat="1" ht="18" customHeight="1">
      <c r="A18" s="54" t="s">
        <v>49</v>
      </c>
      <c r="B18" s="114"/>
      <c r="C18" s="55"/>
      <c r="D18" s="56" t="s">
        <v>71</v>
      </c>
      <c r="E18" s="57"/>
      <c r="F18" s="58"/>
      <c r="G18" s="168"/>
      <c r="H18" s="168"/>
      <c r="I18" s="169"/>
      <c r="K18" s="58"/>
      <c r="L18" s="42">
        <f t="shared" si="0"/>
        <v>0</v>
      </c>
      <c r="M18" s="116"/>
      <c r="N18" s="116"/>
      <c r="O18" s="123"/>
    </row>
    <row r="19" spans="1:17" ht="45">
      <c r="A19" s="11" t="s">
        <v>111</v>
      </c>
      <c r="B19" s="8" t="s">
        <v>88</v>
      </c>
      <c r="C19" s="51">
        <v>94289</v>
      </c>
      <c r="D19" s="53" t="s">
        <v>75</v>
      </c>
      <c r="E19" s="52" t="s">
        <v>15</v>
      </c>
      <c r="F19" s="5">
        <f>ROUND((1.87+1.75+71.32+65.54+7.83+0.64+0.57+17.48+41.74+68.7+16.63+1.61+1.56),2)</f>
        <v>297.24</v>
      </c>
      <c r="G19" s="187" t="s">
        <v>126</v>
      </c>
      <c r="H19" s="187"/>
      <c r="I19" s="188"/>
      <c r="K19" s="5"/>
      <c r="L19" s="42">
        <f t="shared" si="0"/>
        <v>583.40000000000009</v>
      </c>
      <c r="M19" s="116"/>
      <c r="N19" s="116"/>
      <c r="O19" s="123"/>
    </row>
    <row r="20" spans="1:17" s="59" customFormat="1" ht="18" customHeight="1">
      <c r="A20" s="54" t="s">
        <v>52</v>
      </c>
      <c r="B20" s="114"/>
      <c r="C20" s="55"/>
      <c r="D20" s="56" t="s">
        <v>101</v>
      </c>
      <c r="E20" s="57"/>
      <c r="F20" s="58"/>
      <c r="G20" s="168"/>
      <c r="H20" s="168"/>
      <c r="I20" s="169"/>
      <c r="K20" s="58"/>
      <c r="L20" s="42">
        <f t="shared" si="0"/>
        <v>0</v>
      </c>
      <c r="M20" s="116"/>
      <c r="N20" s="116"/>
      <c r="O20" s="123"/>
    </row>
    <row r="21" spans="1:17" ht="60">
      <c r="A21" s="11" t="s">
        <v>112</v>
      </c>
      <c r="B21" s="162" t="s">
        <v>88</v>
      </c>
      <c r="C21" s="51">
        <v>102509</v>
      </c>
      <c r="D21" s="163" t="s">
        <v>102</v>
      </c>
      <c r="E21" s="52" t="s">
        <v>11</v>
      </c>
      <c r="F21" s="5">
        <f>ROUND((3.5*0.4*6*2)+(3*0.4*2*2),2)</f>
        <v>21.6</v>
      </c>
      <c r="G21" s="170" t="s">
        <v>127</v>
      </c>
      <c r="H21" s="171"/>
      <c r="I21" s="172"/>
      <c r="K21" s="5"/>
      <c r="L21" s="42">
        <f t="shared" si="0"/>
        <v>43.2</v>
      </c>
      <c r="M21" s="5"/>
      <c r="N21" s="5"/>
      <c r="O21" s="116"/>
      <c r="P21" s="116"/>
      <c r="Q21" s="115"/>
    </row>
    <row r="22" spans="1:17" s="59" customFormat="1" ht="15.6">
      <c r="A22" s="54">
        <v>3</v>
      </c>
      <c r="B22" s="114"/>
      <c r="C22" s="55"/>
      <c r="D22" s="56" t="s">
        <v>113</v>
      </c>
      <c r="E22" s="57"/>
      <c r="F22" s="58"/>
      <c r="G22" s="168"/>
      <c r="H22" s="168"/>
      <c r="I22" s="169"/>
      <c r="K22" s="58"/>
      <c r="L22" s="58"/>
      <c r="M22" s="116"/>
      <c r="N22" s="116"/>
      <c r="O22" s="115"/>
    </row>
    <row r="23" spans="1:17" s="59" customFormat="1" ht="15.6">
      <c r="A23" s="54" t="s">
        <v>14</v>
      </c>
      <c r="B23" s="114"/>
      <c r="C23" s="55"/>
      <c r="D23" s="56" t="s">
        <v>72</v>
      </c>
      <c r="E23" s="57"/>
      <c r="F23" s="58"/>
      <c r="G23" s="168"/>
      <c r="H23" s="168"/>
      <c r="I23" s="169"/>
      <c r="K23" s="58"/>
      <c r="L23" s="58"/>
      <c r="M23" s="116"/>
      <c r="N23" s="116"/>
      <c r="O23" s="115"/>
    </row>
    <row r="24" spans="1:17" ht="30">
      <c r="A24" s="11" t="s">
        <v>114</v>
      </c>
      <c r="B24" s="99" t="s">
        <v>87</v>
      </c>
      <c r="C24" s="99" t="s">
        <v>83</v>
      </c>
      <c r="D24" s="100" t="s">
        <v>84</v>
      </c>
      <c r="E24" s="101" t="s">
        <v>11</v>
      </c>
      <c r="F24" s="5">
        <f>ROUND((853.09),2)</f>
        <v>853.09</v>
      </c>
      <c r="G24" s="170" t="s">
        <v>128</v>
      </c>
      <c r="H24" s="171"/>
      <c r="I24" s="172"/>
      <c r="K24" s="42"/>
      <c r="L24" s="42"/>
      <c r="M24" s="42"/>
      <c r="N24" s="42"/>
      <c r="O24" s="116"/>
      <c r="P24" s="116"/>
      <c r="Q24" s="115"/>
    </row>
    <row r="25" spans="1:17" ht="20.399999999999999" customHeight="1">
      <c r="A25" s="11" t="s">
        <v>115</v>
      </c>
      <c r="B25" s="99" t="s">
        <v>85</v>
      </c>
      <c r="C25" s="99"/>
      <c r="D25" s="100" t="s">
        <v>86</v>
      </c>
      <c r="E25" s="101" t="s">
        <v>46</v>
      </c>
      <c r="F25" s="42">
        <f>ROUND((0.0005*F24),2)</f>
        <v>0.43</v>
      </c>
      <c r="G25" s="173" t="s">
        <v>129</v>
      </c>
      <c r="H25" s="174"/>
      <c r="I25" s="175"/>
      <c r="K25" s="42"/>
      <c r="L25" s="42"/>
      <c r="M25" s="42"/>
      <c r="N25" s="42"/>
      <c r="O25" s="116"/>
      <c r="P25" s="116"/>
      <c r="Q25" s="115"/>
    </row>
    <row r="26" spans="1:17" ht="60">
      <c r="A26" s="11" t="s">
        <v>116</v>
      </c>
      <c r="B26" s="162" t="s">
        <v>88</v>
      </c>
      <c r="C26" s="8">
        <v>102331</v>
      </c>
      <c r="D26" s="9" t="s">
        <v>89</v>
      </c>
      <c r="E26" s="4" t="s">
        <v>19</v>
      </c>
      <c r="F26" s="42">
        <f>ROUND((736*F25),2)</f>
        <v>316.48</v>
      </c>
      <c r="G26" s="173" t="s">
        <v>130</v>
      </c>
      <c r="H26" s="174"/>
      <c r="I26" s="175"/>
      <c r="K26" s="42"/>
      <c r="L26" s="42"/>
      <c r="M26" s="42"/>
      <c r="N26" s="42"/>
      <c r="O26" s="116"/>
      <c r="P26" s="116"/>
      <c r="Q26" s="115"/>
    </row>
    <row r="27" spans="1:17" ht="71.400000000000006" customHeight="1">
      <c r="A27" s="11" t="s">
        <v>117</v>
      </c>
      <c r="B27" s="162" t="s">
        <v>87</v>
      </c>
      <c r="C27" s="8" t="s">
        <v>95</v>
      </c>
      <c r="D27" s="9" t="s">
        <v>96</v>
      </c>
      <c r="E27" s="4" t="s">
        <v>18</v>
      </c>
      <c r="F27" s="5">
        <f>ROUND((0.03*F24),2)</f>
        <v>25.59</v>
      </c>
      <c r="G27" s="176" t="s">
        <v>131</v>
      </c>
      <c r="H27" s="176"/>
      <c r="I27" s="177"/>
      <c r="K27" s="42"/>
      <c r="L27" s="42"/>
      <c r="M27" s="116"/>
      <c r="N27" s="116"/>
      <c r="O27" s="123"/>
    </row>
    <row r="28" spans="1:17" ht="45" customHeight="1">
      <c r="A28" s="11" t="s">
        <v>118</v>
      </c>
      <c r="B28" s="162" t="s">
        <v>88</v>
      </c>
      <c r="C28" s="8">
        <v>95427</v>
      </c>
      <c r="D28" s="9" t="s">
        <v>97</v>
      </c>
      <c r="E28" s="4" t="s">
        <v>98</v>
      </c>
      <c r="F28" s="42">
        <f>ROUND((114*F27),2)</f>
        <v>2917.26</v>
      </c>
      <c r="G28" s="173" t="s">
        <v>99</v>
      </c>
      <c r="H28" s="174"/>
      <c r="I28" s="175"/>
      <c r="K28" s="42"/>
      <c r="L28" s="42"/>
      <c r="M28" s="116"/>
      <c r="N28" s="116"/>
      <c r="O28" s="123"/>
    </row>
    <row r="29" spans="1:17" s="59" customFormat="1" ht="18" customHeight="1">
      <c r="A29" s="54" t="s">
        <v>119</v>
      </c>
      <c r="B29" s="114"/>
      <c r="C29" s="55"/>
      <c r="D29" s="56" t="s">
        <v>71</v>
      </c>
      <c r="E29" s="57"/>
      <c r="F29" s="58"/>
      <c r="G29" s="168"/>
      <c r="H29" s="168"/>
      <c r="I29" s="169"/>
      <c r="K29" s="58"/>
      <c r="L29" s="58"/>
      <c r="M29" s="116"/>
      <c r="N29" s="116"/>
      <c r="O29" s="123"/>
    </row>
    <row r="30" spans="1:17" ht="45">
      <c r="A30" s="11" t="s">
        <v>120</v>
      </c>
      <c r="B30" s="8" t="s">
        <v>88</v>
      </c>
      <c r="C30" s="51">
        <v>94289</v>
      </c>
      <c r="D30" s="53" t="s">
        <v>75</v>
      </c>
      <c r="E30" s="52" t="s">
        <v>15</v>
      </c>
      <c r="F30" s="5">
        <f>ROUND((39.02+32.96+34.87+36.25+0.83+2.3+1.73+28.21+35.84+36.21+22.38+14.92+0.64),2)</f>
        <v>286.16000000000003</v>
      </c>
      <c r="G30" s="187" t="s">
        <v>133</v>
      </c>
      <c r="H30" s="187"/>
      <c r="I30" s="188"/>
      <c r="K30" s="5"/>
      <c r="L30" s="5"/>
      <c r="M30" s="116"/>
      <c r="N30" s="116"/>
      <c r="O30" s="123"/>
    </row>
    <row r="31" spans="1:17" s="59" customFormat="1" ht="18" customHeight="1">
      <c r="A31" s="54" t="s">
        <v>121</v>
      </c>
      <c r="B31" s="114"/>
      <c r="C31" s="55"/>
      <c r="D31" s="56" t="s">
        <v>101</v>
      </c>
      <c r="E31" s="57"/>
      <c r="F31" s="58"/>
      <c r="G31" s="168"/>
      <c r="H31" s="168"/>
      <c r="I31" s="169"/>
      <c r="K31" s="58"/>
      <c r="L31" s="58"/>
      <c r="M31" s="116"/>
      <c r="N31" s="116"/>
      <c r="O31" s="123"/>
    </row>
    <row r="32" spans="1:17" ht="60">
      <c r="A32" s="11" t="s">
        <v>122</v>
      </c>
      <c r="B32" s="162" t="s">
        <v>88</v>
      </c>
      <c r="C32" s="51">
        <v>102509</v>
      </c>
      <c r="D32" s="163" t="s">
        <v>102</v>
      </c>
      <c r="E32" s="52" t="s">
        <v>11</v>
      </c>
      <c r="F32" s="5">
        <f>ROUND((3.5*0.4*6*2)+(3*0.4*2*2),2)</f>
        <v>21.6</v>
      </c>
      <c r="G32" s="170" t="s">
        <v>134</v>
      </c>
      <c r="H32" s="171"/>
      <c r="I32" s="172"/>
      <c r="K32" s="5"/>
      <c r="L32" s="5"/>
      <c r="M32" s="5"/>
      <c r="N32" s="5"/>
      <c r="O32" s="116"/>
      <c r="P32" s="116"/>
      <c r="Q32" s="115"/>
    </row>
    <row r="33" spans="1:15" ht="45" customHeight="1">
      <c r="A33" s="17"/>
      <c r="B33" s="18"/>
      <c r="C33" s="18"/>
      <c r="D33" s="18"/>
      <c r="E33" s="18"/>
      <c r="F33" s="18"/>
      <c r="G33" s="18"/>
      <c r="H33" s="18"/>
      <c r="I33" s="19"/>
      <c r="L33" s="1">
        <f t="shared" ref="L33:L54" si="1">H33*F33</f>
        <v>0</v>
      </c>
      <c r="O33" s="122"/>
    </row>
    <row r="34" spans="1:15" ht="14.1" customHeight="1">
      <c r="A34" s="181" t="s">
        <v>25</v>
      </c>
      <c r="B34" s="182"/>
      <c r="C34" s="182"/>
      <c r="D34" s="182"/>
      <c r="E34" s="182"/>
      <c r="F34" s="182"/>
      <c r="G34" s="182"/>
      <c r="H34" s="182"/>
      <c r="I34" s="183"/>
      <c r="K34" s="16"/>
      <c r="L34" s="1">
        <f t="shared" si="1"/>
        <v>0</v>
      </c>
      <c r="O34" s="123">
        <f>SUM(O12:O19)</f>
        <v>0</v>
      </c>
    </row>
    <row r="35" spans="1:15" ht="15.6">
      <c r="A35" s="184" t="s">
        <v>69</v>
      </c>
      <c r="B35" s="185"/>
      <c r="C35" s="185"/>
      <c r="D35" s="185"/>
      <c r="E35" s="185"/>
      <c r="F35" s="185"/>
      <c r="G35" s="185"/>
      <c r="H35" s="185"/>
      <c r="I35" s="186"/>
      <c r="J35" s="13"/>
      <c r="K35" s="14"/>
      <c r="L35" s="1">
        <f t="shared" si="1"/>
        <v>0</v>
      </c>
    </row>
    <row r="36" spans="1:15" s="50" customFormat="1" ht="18" customHeight="1">
      <c r="A36" s="184" t="s">
        <v>76</v>
      </c>
      <c r="B36" s="185"/>
      <c r="C36" s="185"/>
      <c r="D36" s="185"/>
      <c r="E36" s="185"/>
      <c r="F36" s="185"/>
      <c r="G36" s="185"/>
      <c r="H36" s="185"/>
      <c r="I36" s="186"/>
      <c r="J36" s="97"/>
      <c r="K36" s="98"/>
      <c r="L36" s="50">
        <f t="shared" si="1"/>
        <v>0</v>
      </c>
    </row>
    <row r="37" spans="1:15" ht="11.25" customHeight="1">
      <c r="A37" s="104"/>
      <c r="B37" s="105"/>
      <c r="C37" s="105"/>
      <c r="D37" s="105"/>
      <c r="E37" s="105"/>
      <c r="F37" s="105"/>
      <c r="G37" s="105"/>
      <c r="H37" s="105"/>
      <c r="I37" s="106"/>
      <c r="K37" s="16"/>
      <c r="L37" s="1">
        <f t="shared" si="1"/>
        <v>0</v>
      </c>
    </row>
    <row r="38" spans="1:15" ht="38.4" customHeight="1">
      <c r="A38" s="102"/>
      <c r="B38" s="103"/>
      <c r="C38" s="105"/>
      <c r="D38" s="105"/>
      <c r="E38" s="105"/>
      <c r="F38" s="105"/>
      <c r="G38" s="105"/>
      <c r="H38" s="105"/>
      <c r="I38" s="106"/>
      <c r="K38" s="16"/>
      <c r="L38" s="1">
        <f t="shared" si="1"/>
        <v>0</v>
      </c>
    </row>
    <row r="39" spans="1:15" ht="14.1" customHeight="1">
      <c r="A39" s="181" t="s">
        <v>25</v>
      </c>
      <c r="B39" s="182"/>
      <c r="C39" s="182"/>
      <c r="D39" s="182"/>
      <c r="E39" s="182"/>
      <c r="F39" s="182"/>
      <c r="G39" s="182"/>
      <c r="H39" s="182"/>
      <c r="I39" s="183"/>
      <c r="K39" s="16"/>
      <c r="L39" s="1">
        <f t="shared" si="1"/>
        <v>0</v>
      </c>
    </row>
    <row r="40" spans="1:15" ht="14.25" customHeight="1">
      <c r="A40" s="184" t="s">
        <v>26</v>
      </c>
      <c r="B40" s="185"/>
      <c r="C40" s="185"/>
      <c r="D40" s="185"/>
      <c r="E40" s="185"/>
      <c r="F40" s="185"/>
      <c r="G40" s="185"/>
      <c r="H40" s="185"/>
      <c r="I40" s="186"/>
      <c r="J40" s="13"/>
      <c r="K40" s="14"/>
      <c r="L40" s="1">
        <f t="shared" si="1"/>
        <v>0</v>
      </c>
    </row>
    <row r="41" spans="1:15" s="50" customFormat="1" ht="18.75" customHeight="1">
      <c r="A41" s="184" t="s">
        <v>77</v>
      </c>
      <c r="B41" s="185"/>
      <c r="C41" s="185"/>
      <c r="D41" s="185"/>
      <c r="E41" s="185"/>
      <c r="F41" s="185"/>
      <c r="G41" s="185"/>
      <c r="H41" s="185"/>
      <c r="I41" s="186"/>
      <c r="J41" s="97"/>
      <c r="K41" s="98"/>
      <c r="L41" s="50">
        <f t="shared" si="1"/>
        <v>0</v>
      </c>
    </row>
    <row r="42" spans="1:15" ht="17.25" customHeight="1" thickBot="1">
      <c r="A42" s="107"/>
      <c r="B42" s="108"/>
      <c r="C42" s="196"/>
      <c r="D42" s="196"/>
      <c r="E42" s="108"/>
      <c r="F42" s="196"/>
      <c r="G42" s="196"/>
      <c r="H42" s="109"/>
      <c r="I42" s="110"/>
      <c r="L42" s="1">
        <f t="shared" si="1"/>
        <v>0</v>
      </c>
    </row>
    <row r="43" spans="1:15" ht="15.6">
      <c r="A43" s="178"/>
      <c r="B43" s="179"/>
      <c r="C43" s="179"/>
      <c r="D43" s="179"/>
      <c r="E43" s="179"/>
      <c r="F43" s="179"/>
      <c r="G43" s="179"/>
      <c r="H43" s="179"/>
      <c r="I43" s="180"/>
      <c r="L43" s="1">
        <f t="shared" si="1"/>
        <v>0</v>
      </c>
    </row>
    <row r="44" spans="1:15" ht="15.6">
      <c r="A44" s="54"/>
      <c r="B44" s="114"/>
      <c r="C44" s="55"/>
      <c r="D44" s="56"/>
      <c r="E44" s="57"/>
      <c r="F44" s="58"/>
      <c r="G44" s="168"/>
      <c r="H44" s="168"/>
      <c r="I44" s="169"/>
      <c r="L44" s="1">
        <f t="shared" si="1"/>
        <v>0</v>
      </c>
    </row>
    <row r="45" spans="1:15" ht="15">
      <c r="A45" s="11"/>
      <c r="B45" s="99"/>
      <c r="C45" s="99"/>
      <c r="D45" s="100"/>
      <c r="E45" s="101"/>
      <c r="F45" s="42"/>
      <c r="G45" s="187"/>
      <c r="H45" s="187"/>
      <c r="I45" s="188"/>
    </row>
    <row r="46" spans="1:15" ht="15.6" customHeight="1">
      <c r="A46" s="11"/>
      <c r="B46" s="99"/>
      <c r="C46" s="99"/>
      <c r="D46" s="100"/>
      <c r="E46" s="101"/>
      <c r="F46" s="42"/>
      <c r="G46" s="176"/>
      <c r="H46" s="176"/>
      <c r="I46" s="177"/>
    </row>
    <row r="47" spans="1:15" ht="15">
      <c r="A47" s="11"/>
      <c r="B47" s="8"/>
      <c r="C47" s="99"/>
      <c r="D47" s="100"/>
      <c r="E47" s="4"/>
      <c r="F47" s="42"/>
      <c r="G47" s="176"/>
      <c r="H47" s="176"/>
      <c r="I47" s="177"/>
    </row>
    <row r="48" spans="1:15" ht="15">
      <c r="A48" s="11"/>
      <c r="B48" s="8"/>
      <c r="C48" s="8"/>
      <c r="D48" s="9"/>
      <c r="E48" s="4"/>
      <c r="F48" s="42"/>
      <c r="G48" s="176"/>
      <c r="H48" s="176"/>
      <c r="I48" s="177"/>
    </row>
    <row r="49" spans="1:12" ht="75" customHeight="1">
      <c r="A49" s="11"/>
      <c r="B49" s="8"/>
      <c r="C49" s="8"/>
      <c r="D49" s="9"/>
      <c r="E49" s="4"/>
      <c r="F49" s="5"/>
      <c r="G49" s="176"/>
      <c r="H49" s="176"/>
      <c r="I49" s="177"/>
    </row>
    <row r="50" spans="1:12" ht="15.6">
      <c r="A50" s="54"/>
      <c r="B50" s="114"/>
      <c r="C50" s="55"/>
      <c r="D50" s="56"/>
      <c r="E50" s="57"/>
      <c r="F50" s="58"/>
      <c r="G50" s="168"/>
      <c r="H50" s="168"/>
      <c r="I50" s="169"/>
    </row>
    <row r="51" spans="1:12" ht="15">
      <c r="A51" s="11"/>
      <c r="B51" s="8"/>
      <c r="C51" s="51"/>
      <c r="D51" s="53"/>
      <c r="E51" s="52"/>
      <c r="F51" s="5"/>
      <c r="G51" s="187"/>
      <c r="H51" s="187"/>
      <c r="I51" s="188"/>
    </row>
    <row r="52" spans="1:12" ht="16.2" thickBot="1">
      <c r="A52" s="43"/>
      <c r="B52" s="44"/>
      <c r="C52" s="44"/>
      <c r="D52" s="44"/>
      <c r="E52" s="44"/>
      <c r="F52" s="44"/>
      <c r="G52" s="44"/>
      <c r="H52" s="44"/>
      <c r="I52" s="45"/>
    </row>
    <row r="53" spans="1:12" ht="15.6">
      <c r="A53" s="178"/>
      <c r="B53" s="179"/>
      <c r="C53" s="179"/>
      <c r="D53" s="179"/>
      <c r="E53" s="179"/>
      <c r="F53" s="179"/>
      <c r="G53" s="179"/>
      <c r="H53" s="179"/>
      <c r="I53" s="180"/>
      <c r="L53" s="1">
        <f t="shared" si="1"/>
        <v>0</v>
      </c>
    </row>
    <row r="54" spans="1:12" ht="15.6">
      <c r="A54" s="54"/>
      <c r="B54" s="114"/>
      <c r="C54" s="55"/>
      <c r="D54" s="56"/>
      <c r="E54" s="57"/>
      <c r="F54" s="58"/>
      <c r="G54" s="168"/>
      <c r="H54" s="168"/>
      <c r="I54" s="169"/>
      <c r="L54" s="1">
        <f t="shared" si="1"/>
        <v>0</v>
      </c>
    </row>
    <row r="55" spans="1:12" ht="15">
      <c r="A55" s="11"/>
      <c r="B55" s="99"/>
      <c r="C55" s="99"/>
      <c r="D55" s="100"/>
      <c r="E55" s="101"/>
      <c r="F55" s="42"/>
      <c r="G55" s="187"/>
      <c r="H55" s="187"/>
      <c r="I55" s="188"/>
    </row>
    <row r="56" spans="1:12" ht="15.6" customHeight="1">
      <c r="A56" s="11"/>
      <c r="B56" s="99"/>
      <c r="C56" s="99"/>
      <c r="D56" s="100"/>
      <c r="E56" s="101"/>
      <c r="F56" s="42"/>
      <c r="G56" s="176"/>
      <c r="H56" s="176"/>
      <c r="I56" s="177"/>
    </row>
    <row r="57" spans="1:12" ht="15">
      <c r="A57" s="11"/>
      <c r="B57" s="8"/>
      <c r="C57" s="99"/>
      <c r="D57" s="100"/>
      <c r="E57" s="4"/>
      <c r="F57" s="42"/>
      <c r="G57" s="176"/>
      <c r="H57" s="176"/>
      <c r="I57" s="177"/>
    </row>
    <row r="58" spans="1:12" ht="15">
      <c r="A58" s="11"/>
      <c r="B58" s="8"/>
      <c r="C58" s="8"/>
      <c r="D58" s="9"/>
      <c r="E58" s="4"/>
      <c r="F58" s="42"/>
      <c r="G58" s="176"/>
      <c r="H58" s="176"/>
      <c r="I58" s="177"/>
    </row>
    <row r="59" spans="1:12" ht="15">
      <c r="A59" s="11"/>
      <c r="B59" s="8"/>
      <c r="C59" s="8"/>
      <c r="D59" s="9"/>
      <c r="E59" s="4"/>
      <c r="F59" s="5"/>
      <c r="G59" s="176"/>
      <c r="H59" s="176"/>
      <c r="I59" s="177"/>
    </row>
    <row r="60" spans="1:12" ht="15.6">
      <c r="A60" s="54"/>
      <c r="B60" s="114"/>
      <c r="C60" s="55"/>
      <c r="D60" s="56"/>
      <c r="E60" s="57"/>
      <c r="F60" s="58"/>
      <c r="G60" s="168"/>
      <c r="H60" s="168"/>
      <c r="I60" s="169"/>
    </row>
    <row r="61" spans="1:12" ht="15">
      <c r="A61" s="11"/>
      <c r="B61" s="8"/>
      <c r="C61" s="51"/>
      <c r="D61" s="53"/>
      <c r="E61" s="52"/>
      <c r="F61" s="5"/>
      <c r="G61" s="187"/>
      <c r="H61" s="187"/>
      <c r="I61" s="188"/>
    </row>
    <row r="62" spans="1:12">
      <c r="A62" s="15"/>
      <c r="I62" s="16"/>
    </row>
    <row r="63" spans="1:12" ht="15.6">
      <c r="A63" s="17"/>
      <c r="B63" s="18"/>
      <c r="C63" s="18"/>
      <c r="D63" s="18"/>
      <c r="E63" s="18"/>
      <c r="F63" s="18"/>
      <c r="G63" s="18"/>
      <c r="H63" s="18"/>
      <c r="I63" s="19"/>
    </row>
    <row r="64" spans="1:12" ht="11.25" customHeight="1">
      <c r="A64" s="193"/>
      <c r="B64" s="194"/>
      <c r="C64" s="194"/>
      <c r="D64" s="194"/>
      <c r="E64" s="194"/>
      <c r="F64" s="194"/>
      <c r="G64" s="194"/>
      <c r="H64" s="194"/>
      <c r="I64" s="195"/>
      <c r="J64" s="2"/>
      <c r="K64" s="12"/>
    </row>
    <row r="65" spans="1:11" ht="15.6">
      <c r="A65" s="184"/>
      <c r="B65" s="185"/>
      <c r="C65" s="185"/>
      <c r="D65" s="185"/>
      <c r="E65" s="185"/>
      <c r="F65" s="185"/>
      <c r="G65" s="185"/>
      <c r="H65" s="185"/>
      <c r="I65" s="186"/>
      <c r="J65" s="13"/>
      <c r="K65" s="14"/>
    </row>
    <row r="66" spans="1:11" ht="18" customHeight="1">
      <c r="A66" s="184"/>
      <c r="B66" s="185"/>
      <c r="C66" s="185"/>
      <c r="D66" s="185"/>
      <c r="E66" s="185"/>
      <c r="F66" s="185"/>
      <c r="G66" s="185"/>
      <c r="H66" s="185"/>
      <c r="I66" s="186"/>
      <c r="J66" s="2"/>
      <c r="K66" s="12"/>
    </row>
    <row r="67" spans="1:11" ht="11.25" customHeight="1">
      <c r="A67" s="104"/>
      <c r="B67" s="105"/>
      <c r="C67" s="105"/>
      <c r="D67" s="105"/>
      <c r="E67" s="105"/>
      <c r="F67" s="105"/>
      <c r="G67" s="105"/>
      <c r="H67" s="105"/>
      <c r="I67" s="106"/>
      <c r="K67" s="16"/>
    </row>
    <row r="68" spans="1:11" ht="12" customHeight="1">
      <c r="A68" s="102"/>
      <c r="B68" s="103"/>
      <c r="C68" s="105"/>
      <c r="D68" s="105"/>
      <c r="E68" s="105"/>
      <c r="F68" s="105"/>
      <c r="G68" s="105"/>
      <c r="H68" s="105"/>
      <c r="I68" s="106"/>
      <c r="K68" s="16"/>
    </row>
    <row r="69" spans="1:11" ht="14.1" customHeight="1">
      <c r="A69" s="181"/>
      <c r="B69" s="182"/>
      <c r="C69" s="182"/>
      <c r="D69" s="182"/>
      <c r="E69" s="182"/>
      <c r="F69" s="182"/>
      <c r="G69" s="182"/>
      <c r="H69" s="182"/>
      <c r="I69" s="183"/>
      <c r="K69" s="16"/>
    </row>
    <row r="70" spans="1:11" ht="14.25" customHeight="1">
      <c r="A70" s="184"/>
      <c r="B70" s="185"/>
      <c r="C70" s="185"/>
      <c r="D70" s="185"/>
      <c r="E70" s="185"/>
      <c r="F70" s="185"/>
      <c r="G70" s="185"/>
      <c r="H70" s="185"/>
      <c r="I70" s="186"/>
      <c r="J70" s="13"/>
      <c r="K70" s="14"/>
    </row>
    <row r="71" spans="1:11" ht="18.75" customHeight="1">
      <c r="A71" s="184"/>
      <c r="B71" s="185"/>
      <c r="C71" s="185"/>
      <c r="D71" s="185"/>
      <c r="E71" s="185"/>
      <c r="F71" s="185"/>
      <c r="G71" s="185"/>
      <c r="H71" s="185"/>
      <c r="I71" s="186"/>
      <c r="J71" s="2"/>
      <c r="K71" s="12"/>
    </row>
    <row r="72" spans="1:11" ht="13.8" thickBot="1">
      <c r="A72" s="24"/>
      <c r="B72" s="25"/>
      <c r="C72" s="25"/>
      <c r="D72" s="25"/>
      <c r="E72" s="25"/>
      <c r="F72" s="25"/>
      <c r="G72" s="25"/>
      <c r="H72" s="25"/>
      <c r="I72" s="26"/>
    </row>
  </sheetData>
  <mergeCells count="69">
    <mergeCell ref="A1:I1"/>
    <mergeCell ref="A2:I2"/>
    <mergeCell ref="A3:F3"/>
    <mergeCell ref="G3:I3"/>
    <mergeCell ref="A4:F4"/>
    <mergeCell ref="H4:I4"/>
    <mergeCell ref="A5:E5"/>
    <mergeCell ref="F5:I5"/>
    <mergeCell ref="A6:E6"/>
    <mergeCell ref="F6:F7"/>
    <mergeCell ref="G6:G7"/>
    <mergeCell ref="A7:E7"/>
    <mergeCell ref="G57:I57"/>
    <mergeCell ref="G58:I58"/>
    <mergeCell ref="G59:I59"/>
    <mergeCell ref="G21:I21"/>
    <mergeCell ref="G61:I61"/>
    <mergeCell ref="G60:I60"/>
    <mergeCell ref="G55:I55"/>
    <mergeCell ref="G48:I48"/>
    <mergeCell ref="G49:I49"/>
    <mergeCell ref="G50:I50"/>
    <mergeCell ref="G51:I51"/>
    <mergeCell ref="G54:I54"/>
    <mergeCell ref="A53:I53"/>
    <mergeCell ref="F42:G42"/>
    <mergeCell ref="G56:I56"/>
    <mergeCell ref="G24:I24"/>
    <mergeCell ref="A71:I71"/>
    <mergeCell ref="G8:I8"/>
    <mergeCell ref="G9:I9"/>
    <mergeCell ref="G10:I10"/>
    <mergeCell ref="G12:I12"/>
    <mergeCell ref="A64:I64"/>
    <mergeCell ref="A65:I65"/>
    <mergeCell ref="A66:I66"/>
    <mergeCell ref="A69:I69"/>
    <mergeCell ref="A70:I70"/>
    <mergeCell ref="G18:I18"/>
    <mergeCell ref="G19:I19"/>
    <mergeCell ref="A41:I41"/>
    <mergeCell ref="C42:D42"/>
    <mergeCell ref="G46:I46"/>
    <mergeCell ref="G13:I13"/>
    <mergeCell ref="G47:I47"/>
    <mergeCell ref="G16:I16"/>
    <mergeCell ref="G17:I17"/>
    <mergeCell ref="A43:I43"/>
    <mergeCell ref="A34:I34"/>
    <mergeCell ref="A35:I35"/>
    <mergeCell ref="A36:I36"/>
    <mergeCell ref="A39:I39"/>
    <mergeCell ref="A40:I40"/>
    <mergeCell ref="G44:I44"/>
    <mergeCell ref="G45:I45"/>
    <mergeCell ref="G20:I20"/>
    <mergeCell ref="G22:I22"/>
    <mergeCell ref="G23:I23"/>
    <mergeCell ref="G30:I30"/>
    <mergeCell ref="G31:I31"/>
    <mergeCell ref="G11:I11"/>
    <mergeCell ref="G32:I32"/>
    <mergeCell ref="G25:I25"/>
    <mergeCell ref="G26:I26"/>
    <mergeCell ref="G27:I27"/>
    <mergeCell ref="G28:I28"/>
    <mergeCell ref="G29:I29"/>
    <mergeCell ref="G14:I14"/>
    <mergeCell ref="G15:I15"/>
  </mergeCells>
  <phoneticPr fontId="20" type="noConversion"/>
  <pageMargins left="0.7" right="0.7" top="0.75" bottom="0.75" header="0.3" footer="0.3"/>
  <pageSetup paperSize="9" scale="61" fitToHeight="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3"/>
  <sheetViews>
    <sheetView showGridLines="0" showZeros="0" view="pageBreakPreview" topLeftCell="A33" zoomScale="70" zoomScaleNormal="100" zoomScaleSheetLayoutView="70" workbookViewId="0">
      <selection activeCell="A40" sqref="A40:I40"/>
    </sheetView>
  </sheetViews>
  <sheetFormatPr defaultColWidth="9.109375" defaultRowHeight="13.2"/>
  <cols>
    <col min="1" max="1" width="10.44140625" style="1" customWidth="1"/>
    <col min="2" max="2" width="15.109375" style="1" customWidth="1"/>
    <col min="3" max="3" width="11.5546875" style="1" bestFit="1" customWidth="1"/>
    <col min="4" max="4" width="73.109375" style="1" customWidth="1"/>
    <col min="5" max="5" width="12.33203125" style="1" customWidth="1"/>
    <col min="6" max="6" width="15.88671875" style="1" customWidth="1"/>
    <col min="7" max="8" width="14.88671875" style="1" bestFit="1" customWidth="1"/>
    <col min="9" max="9" width="19.44140625" style="1" bestFit="1" customWidth="1"/>
    <col min="10" max="10" width="10.5546875" style="1" customWidth="1"/>
    <col min="11" max="11" width="17.88671875" style="1" bestFit="1" customWidth="1"/>
    <col min="12" max="13" width="17.77734375" style="1" bestFit="1" customWidth="1"/>
    <col min="14" max="14" width="13.109375" style="1" bestFit="1" customWidth="1"/>
    <col min="15" max="15" width="13" style="1" bestFit="1" customWidth="1"/>
    <col min="16" max="16" width="9.109375" style="1"/>
    <col min="17" max="17" width="15.33203125" style="1" bestFit="1" customWidth="1"/>
    <col min="18" max="16384" width="9.109375" style="1"/>
  </cols>
  <sheetData>
    <row r="1" spans="1:17" ht="93" customHeight="1" thickBot="1">
      <c r="A1" s="217" t="s">
        <v>74</v>
      </c>
      <c r="B1" s="218"/>
      <c r="C1" s="218"/>
      <c r="D1" s="218"/>
      <c r="E1" s="218"/>
      <c r="F1" s="218"/>
      <c r="G1" s="218"/>
      <c r="H1" s="218"/>
      <c r="I1" s="219"/>
      <c r="J1" s="21"/>
      <c r="K1" s="20"/>
    </row>
    <row r="2" spans="1:17" ht="21.75" customHeight="1" thickBot="1">
      <c r="A2" s="224" t="s">
        <v>4</v>
      </c>
      <c r="B2" s="225"/>
      <c r="C2" s="225"/>
      <c r="D2" s="225"/>
      <c r="E2" s="225"/>
      <c r="F2" s="225"/>
      <c r="G2" s="225"/>
      <c r="H2" s="225"/>
      <c r="I2" s="226"/>
    </row>
    <row r="3" spans="1:17" ht="20.100000000000001" customHeight="1">
      <c r="A3" s="209" t="str">
        <f>'MEMÓRIAL DE CÁLCULO'!A3:F3</f>
        <v>PREFEITURA: PREFEITURA MUNICIPAL DE DIVISA ALEGRE - MG</v>
      </c>
      <c r="B3" s="221"/>
      <c r="C3" s="210"/>
      <c r="D3" s="210"/>
      <c r="E3" s="210"/>
      <c r="F3" s="210"/>
      <c r="G3" s="211" t="s">
        <v>17</v>
      </c>
      <c r="H3" s="211"/>
      <c r="I3" s="212"/>
    </row>
    <row r="4" spans="1:17" ht="36" customHeight="1">
      <c r="A4" s="213" t="str">
        <f>'MEMÓRIAL DE CÁLCULO'!A4:F4</f>
        <v>OBJETO: RECAPEAMENTO ASFÁLTICO EM CONCRETO BETUMINOSO USINADO A QUENTE (CBUQ) NO MUNICÍPIO DE DIVISA ALEGRE - MG</v>
      </c>
      <c r="B4" s="222"/>
      <c r="C4" s="214"/>
      <c r="D4" s="214"/>
      <c r="E4" s="214"/>
      <c r="F4" s="214"/>
      <c r="G4" s="6" t="str">
        <f>'MEMÓRIAL DE CÁLCULO'!G4</f>
        <v>DATA:</v>
      </c>
      <c r="H4" s="227">
        <f ca="1">'MEMÓRIAL DE CÁLCULO'!H4:I4</f>
        <v>45952</v>
      </c>
      <c r="I4" s="228"/>
    </row>
    <row r="5" spans="1:17" ht="27" customHeight="1">
      <c r="A5" s="197" t="str">
        <f>'MEMÓRIAL DE CÁLCULO'!A5:E5</f>
        <v>LOCAL: AVENIDA JOÃO MEIRA DOS SANTOS E AVENIDA BEIJA-FLOR</v>
      </c>
      <c r="B5" s="220"/>
      <c r="C5" s="198"/>
      <c r="D5" s="198"/>
      <c r="E5" s="198"/>
      <c r="F5" s="199" t="str">
        <f>'MEMÓRIAL DE CÁLCULO'!F5:I5</f>
        <v xml:space="preserve">FORMA DE EXECUÇÃO: </v>
      </c>
      <c r="G5" s="199"/>
      <c r="H5" s="199"/>
      <c r="I5" s="200"/>
    </row>
    <row r="6" spans="1:17" ht="35.4" customHeight="1">
      <c r="A6" s="201" t="str">
        <f>'MEMÓRIAL DE CÁLCULO'!A6:E6</f>
        <v>REGIÃO/MÊS DE REFERÊNCIA: SEINFRA/REGIÃO JEQUITINHONHA 04/2025 NÃO DESONERADO // SINAPI-MG 08/2025 NÃO DESONERADO //  ANP 07/2025</v>
      </c>
      <c r="B6" s="223"/>
      <c r="C6" s="202"/>
      <c r="D6" s="202"/>
      <c r="E6" s="202"/>
      <c r="F6" s="199" t="str">
        <f>'MEMÓRIAL DE CÁLCULO'!F6:F7</f>
        <v>(    )</v>
      </c>
      <c r="G6" s="199" t="str">
        <f>'MEMÓRIAL DE CÁLCULO'!G6:G7</f>
        <v>DIRETA</v>
      </c>
      <c r="H6" s="6" t="str">
        <f>'MEMÓRIAL DE CÁLCULO'!H6</f>
        <v>(X)</v>
      </c>
      <c r="I6" s="49" t="str">
        <f>'MEMÓRIAL DE CÁLCULO'!I6</f>
        <v>INDIRETA</v>
      </c>
    </row>
    <row r="7" spans="1:17" ht="15.6">
      <c r="A7" s="197" t="str">
        <f>'MEMÓRIAL DE CÁLCULO'!A7:E7</f>
        <v>PRAZO DE EXECUÇÃO: 02 MESES</v>
      </c>
      <c r="B7" s="220"/>
      <c r="C7" s="198"/>
      <c r="D7" s="198"/>
      <c r="E7" s="198"/>
      <c r="F7" s="199"/>
      <c r="G7" s="199"/>
      <c r="H7" s="7" t="str">
        <f>'MEMÓRIAL DE CÁLCULO'!H7</f>
        <v>BDI</v>
      </c>
      <c r="I7" s="10">
        <f>'MEMÓRIAL DE CÁLCULO'!I7</f>
        <v>0.24429999999999999</v>
      </c>
    </row>
    <row r="8" spans="1:17" ht="46.8">
      <c r="A8" s="125" t="str">
        <f>'MEMÓRIAL DE CÁLCULO'!A8</f>
        <v>ITEM</v>
      </c>
      <c r="B8" s="6" t="str">
        <f>'MEMÓRIAL DE CÁLCULO'!B8</f>
        <v>FONTE</v>
      </c>
      <c r="C8" s="6" t="str">
        <f>'MEMÓRIAL DE CÁLCULO'!C8</f>
        <v>CÓDIGO</v>
      </c>
      <c r="D8" s="6" t="str">
        <f>'MEMÓRIAL DE CÁLCULO'!D8</f>
        <v>DESCRIÇÃO</v>
      </c>
      <c r="E8" s="6" t="str">
        <f>'MEMÓRIAL DE CÁLCULO'!E8</f>
        <v>UNIDADE</v>
      </c>
      <c r="F8" s="6" t="str">
        <f>'MEMÓRIAL DE CÁLCULO'!F8</f>
        <v>QUANTIDADE</v>
      </c>
      <c r="G8" s="3" t="s">
        <v>22</v>
      </c>
      <c r="H8" s="3" t="s">
        <v>23</v>
      </c>
      <c r="I8" s="126" t="s">
        <v>9</v>
      </c>
    </row>
    <row r="9" spans="1:17" s="59" customFormat="1" ht="18" customHeight="1">
      <c r="A9" s="54">
        <f>'MEMÓRIAL DE CÁLCULO'!A9</f>
        <v>1</v>
      </c>
      <c r="B9" s="114">
        <f>'MEMÓRIAL DE CÁLCULO'!B9</f>
        <v>0</v>
      </c>
      <c r="C9" s="114">
        <f>'MEMÓRIAL DE CÁLCULO'!C9</f>
        <v>0</v>
      </c>
      <c r="D9" s="56" t="str">
        <f>'MEMÓRIAL DE CÁLCULO'!D9</f>
        <v>INSTALAÇÕES INICIAIS DA OBRA</v>
      </c>
      <c r="E9" s="114">
        <f>'MEMÓRIAL DE CÁLCULO'!E9</f>
        <v>0</v>
      </c>
      <c r="F9" s="58"/>
      <c r="G9" s="58"/>
      <c r="H9" s="58"/>
      <c r="I9" s="41">
        <f>ROUND((SUM(I10)),2)</f>
        <v>2806.7</v>
      </c>
    </row>
    <row r="10" spans="1:17" ht="45">
      <c r="A10" s="11" t="str">
        <f>'MEMÓRIAL DE CÁLCULO'!A10</f>
        <v>1.1</v>
      </c>
      <c r="B10" s="8" t="str">
        <f>'MEMÓRIAL DE CÁLCULO'!B10</f>
        <v>SINAPI</v>
      </c>
      <c r="C10" s="8">
        <f>'MEMÓRIAL DE CÁLCULO'!C10</f>
        <v>103689</v>
      </c>
      <c r="D10" s="9" t="str">
        <f>'MEMÓRIAL DE CÁLCULO'!D10</f>
        <v>FORNECIMENTO E INSTALAÇÃO DE PLACA DE OBRA COM CHAPA GALVANIZADA E ESTRUTURA DE MADEIRA. AF_03/2022_PS</v>
      </c>
      <c r="E10" s="8" t="str">
        <f>'MEMÓRIAL DE CÁLCULO'!E10</f>
        <v>M2</v>
      </c>
      <c r="F10" s="165">
        <f>'MEMÓRIAL DE CÁLCULO'!F10</f>
        <v>4.5</v>
      </c>
      <c r="G10" s="111">
        <v>501.25</v>
      </c>
      <c r="H10" s="111">
        <f>ROUND((G10*(1+$I$7)),2)</f>
        <v>623.71</v>
      </c>
      <c r="I10" s="127">
        <f>ROUND((F10*H10),2)</f>
        <v>2806.7</v>
      </c>
      <c r="K10" s="112">
        <f>ROUND((H10*N10),2)</f>
        <v>2806.7</v>
      </c>
      <c r="M10" s="48"/>
      <c r="N10" s="120">
        <v>4.5</v>
      </c>
      <c r="O10" s="164">
        <f>F10-N10</f>
        <v>0</v>
      </c>
      <c r="Q10" s="167">
        <f>I10</f>
        <v>2806.7</v>
      </c>
    </row>
    <row r="11" spans="1:17" s="59" customFormat="1" ht="15.6">
      <c r="A11" s="54">
        <f>'MEMÓRIAL DE CÁLCULO'!A11</f>
        <v>2</v>
      </c>
      <c r="B11" s="114">
        <f>'MEMÓRIAL DE CÁLCULO'!B11</f>
        <v>0</v>
      </c>
      <c r="C11" s="114">
        <f>'MEMÓRIAL DE CÁLCULO'!C11</f>
        <v>0</v>
      </c>
      <c r="D11" s="56" t="str">
        <f>'MEMÓRIAL DE CÁLCULO'!D11</f>
        <v>RECAPEAMENTO AV. BEIJA-FLOR</v>
      </c>
      <c r="E11" s="114">
        <f>'MEMÓRIAL DE CÁLCULO'!E11</f>
        <v>0</v>
      </c>
      <c r="F11" s="166"/>
      <c r="G11" s="58"/>
      <c r="H11" s="58"/>
      <c r="I11" s="41">
        <f>ROUND((SUM(I12,I18,I20)),2)</f>
        <v>81015.03</v>
      </c>
      <c r="K11" s="112">
        <f t="shared" ref="K11" si="0">ROUND((H11*N11),2)</f>
        <v>0</v>
      </c>
      <c r="L11" s="61"/>
      <c r="M11" s="60"/>
      <c r="N11" s="121"/>
      <c r="O11" s="164">
        <f t="shared" ref="O11" si="1">F11-N11</f>
        <v>0</v>
      </c>
    </row>
    <row r="12" spans="1:17" s="59" customFormat="1" ht="15.6">
      <c r="A12" s="54" t="str">
        <f>'MEMÓRIAL DE CÁLCULO'!A12</f>
        <v>2.1</v>
      </c>
      <c r="B12" s="114">
        <f>'MEMÓRIAL DE CÁLCULO'!B12</f>
        <v>0</v>
      </c>
      <c r="C12" s="114">
        <f>'MEMÓRIAL DE CÁLCULO'!C12</f>
        <v>0</v>
      </c>
      <c r="D12" s="56" t="str">
        <f>'MEMÓRIAL DE CÁLCULO'!D12</f>
        <v>PAVIMENTAÇÃO</v>
      </c>
      <c r="E12" s="114">
        <f>'MEMÓRIAL DE CÁLCULO'!E12</f>
        <v>0</v>
      </c>
      <c r="F12" s="166"/>
      <c r="G12" s="58"/>
      <c r="H12" s="58"/>
      <c r="I12" s="41">
        <f>ROUND((SUM(I13:I17)),2)</f>
        <v>62995.17</v>
      </c>
      <c r="K12" s="112">
        <f t="shared" ref="K12:K19" si="2">ROUND((H12*N12),2)</f>
        <v>0</v>
      </c>
      <c r="L12" s="61"/>
      <c r="M12" s="60"/>
      <c r="N12" s="121"/>
      <c r="O12" s="164">
        <f t="shared" ref="O12:O32" si="3">F12-N12</f>
        <v>0</v>
      </c>
    </row>
    <row r="13" spans="1:17" ht="30">
      <c r="A13" s="11" t="str">
        <f>'MEMÓRIAL DE CÁLCULO'!A13</f>
        <v>2.1.1</v>
      </c>
      <c r="B13" s="8" t="str">
        <f>'MEMÓRIAL DE CÁLCULO'!B13</f>
        <v>SEINFRA-MG</v>
      </c>
      <c r="C13" s="8" t="str">
        <f>'MEMÓRIAL DE CÁLCULO'!C13</f>
        <v>RO-00389</v>
      </c>
      <c r="D13" s="9" t="str">
        <f>'MEMÓRIAL DE CÁLCULO'!D13</f>
        <v>Pintura de ligação (Execução, exclui fornecimento e transporte do material betuminoso até a obra)</v>
      </c>
      <c r="E13" s="8" t="str">
        <f>'MEMÓRIAL DE CÁLCULO'!E13</f>
        <v>M2</v>
      </c>
      <c r="F13" s="165">
        <f>'MEMÓRIAL DE CÁLCULO'!F13</f>
        <v>876.61</v>
      </c>
      <c r="G13" s="111">
        <v>0.32</v>
      </c>
      <c r="H13" s="111">
        <f>ROUND((G13*(1+$I$7)),2)</f>
        <v>0.4</v>
      </c>
      <c r="I13" s="127">
        <f t="shared" ref="I13:I15" si="4">ROUND((F13*H13),2)</f>
        <v>350.64</v>
      </c>
      <c r="K13" s="112">
        <f t="shared" si="2"/>
        <v>350.64</v>
      </c>
      <c r="M13" s="48"/>
      <c r="N13" s="120">
        <v>876.61</v>
      </c>
      <c r="O13" s="164">
        <f t="shared" si="3"/>
        <v>0</v>
      </c>
      <c r="Q13" s="167">
        <f>I13+I24</f>
        <v>691.88</v>
      </c>
    </row>
    <row r="14" spans="1:17" ht="15">
      <c r="A14" s="11" t="str">
        <f>'MEMÓRIAL DE CÁLCULO'!A14</f>
        <v>2.1.2</v>
      </c>
      <c r="B14" s="8" t="str">
        <f>'MEMÓRIAL DE CÁLCULO'!B14</f>
        <v>ANP</v>
      </c>
      <c r="C14" s="8">
        <f>'MEMÓRIAL DE CÁLCULO'!C14</f>
        <v>0</v>
      </c>
      <c r="D14" s="9" t="str">
        <f>'MEMÓRIAL DE CÁLCULO'!D14</f>
        <v>Emulsão asfáltica - RR-1C</v>
      </c>
      <c r="E14" s="8" t="str">
        <f>'MEMÓRIAL DE CÁLCULO'!E14</f>
        <v>T</v>
      </c>
      <c r="F14" s="165">
        <f>'MEMÓRIAL DE CÁLCULO'!F14</f>
        <v>0.44</v>
      </c>
      <c r="G14" s="111">
        <f>ROUND((2.64501707476847*1000),2)</f>
        <v>2645.02</v>
      </c>
      <c r="H14" s="111">
        <f t="shared" ref="H14:H17" si="5">ROUND((G14*(1+$I$7)),2)</f>
        <v>3291.2</v>
      </c>
      <c r="I14" s="127">
        <f t="shared" si="4"/>
        <v>1448.13</v>
      </c>
      <c r="K14" s="112">
        <f t="shared" si="2"/>
        <v>1448.13</v>
      </c>
      <c r="M14" s="48"/>
      <c r="N14" s="120">
        <v>0.44</v>
      </c>
      <c r="O14" s="164">
        <f t="shared" si="3"/>
        <v>0</v>
      </c>
      <c r="Q14" s="167">
        <f t="shared" ref="Q14:Q19" si="6">I14+I25</f>
        <v>2863.3500000000004</v>
      </c>
    </row>
    <row r="15" spans="1:17" ht="60">
      <c r="A15" s="11" t="str">
        <f>'MEMÓRIAL DE CÁLCULO'!A15</f>
        <v>2.1.3</v>
      </c>
      <c r="B15" s="8" t="str">
        <f>'MEMÓRIAL DE CÁLCULO'!B15</f>
        <v>SINAPI</v>
      </c>
      <c r="C15" s="8">
        <f>'MEMÓRIAL DE CÁLCULO'!C15</f>
        <v>102331</v>
      </c>
      <c r="D15" s="9" t="str">
        <f>'MEMÓRIAL DE CÁLCULO'!D15</f>
        <v>TRANSPORTE COM CAMINHÃO TANQUE DE TRANSPORTE DE MATERIAL ASFÁLTICO DE 30000 L, EM VIA URBANA PAVIMENTADA, ADICIONAL PARA DMT EXCEDENTE A 30 KM (UNIDADE: TXKM). AF_07/2020</v>
      </c>
      <c r="E15" s="8" t="str">
        <f>'MEMÓRIAL DE CÁLCULO'!E15</f>
        <v>TXKM</v>
      </c>
      <c r="F15" s="165">
        <f>'MEMÓRIAL DE CÁLCULO'!F15</f>
        <v>323.83999999999997</v>
      </c>
      <c r="G15" s="111">
        <v>0.56000000000000005</v>
      </c>
      <c r="H15" s="111">
        <f t="shared" si="5"/>
        <v>0.7</v>
      </c>
      <c r="I15" s="127">
        <f t="shared" si="4"/>
        <v>226.69</v>
      </c>
      <c r="K15" s="112">
        <f t="shared" si="2"/>
        <v>226.69</v>
      </c>
      <c r="M15" s="48"/>
      <c r="N15" s="120">
        <v>323.83999999999997</v>
      </c>
      <c r="O15" s="164">
        <f t="shared" si="3"/>
        <v>0</v>
      </c>
      <c r="Q15" s="167">
        <f t="shared" si="6"/>
        <v>448.23</v>
      </c>
    </row>
    <row r="16" spans="1:17" ht="75">
      <c r="A16" s="11" t="str">
        <f>'MEMÓRIAL DE CÁLCULO'!A16</f>
        <v>2.1.4</v>
      </c>
      <c r="B16" s="8" t="str">
        <f>'MEMÓRIAL DE CÁLCULO'!B16</f>
        <v>SEINFRA-MG</v>
      </c>
      <c r="C16" s="8" t="str">
        <f>'MEMÓRIAL DE CÁLCULO'!C16</f>
        <v>ED-7623</v>
      </c>
      <c r="D16" s="9" t="str">
        <f>'MEMÓRIAL DE CÁLCULO'!D16</f>
        <v>EXECUÇÃO E APLICAÇÃO DE CONCRETO BETUMINOSO USINADO A QUENTE (CBUQ), MASSA COMERCIAL, INCLUINDO FORNECIMENTO E TRANSPORTE DOS AGREGADOS E MATERIAL BETUMINOSO, EXCLUSIVE TRANSPORTE DA MASSA ASFÁLTICA ATÉ A PISTA</v>
      </c>
      <c r="E16" s="8" t="str">
        <f>'MEMÓRIAL DE CÁLCULO'!E16</f>
        <v>M3</v>
      </c>
      <c r="F16" s="165">
        <f>'MEMÓRIAL DE CÁLCULO'!F16</f>
        <v>26.3</v>
      </c>
      <c r="G16" s="111">
        <v>1776.05</v>
      </c>
      <c r="H16" s="111">
        <f t="shared" si="5"/>
        <v>2209.94</v>
      </c>
      <c r="I16" s="127">
        <f t="shared" ref="I16:I17" si="7">ROUND((F16*H16),2)</f>
        <v>58121.42</v>
      </c>
      <c r="K16" s="112">
        <f t="shared" si="2"/>
        <v>58121.42</v>
      </c>
      <c r="M16" s="48"/>
      <c r="N16" s="120">
        <v>26.3</v>
      </c>
      <c r="O16" s="164">
        <f t="shared" si="3"/>
        <v>0</v>
      </c>
      <c r="Q16" s="167">
        <f t="shared" si="6"/>
        <v>114673.78</v>
      </c>
    </row>
    <row r="17" spans="1:17" ht="53.4" customHeight="1">
      <c r="A17" s="11" t="str">
        <f>'MEMÓRIAL DE CÁLCULO'!A17</f>
        <v>2.1.5</v>
      </c>
      <c r="B17" s="8" t="str">
        <f>'MEMÓRIAL DE CÁLCULO'!B17</f>
        <v>SINAPI</v>
      </c>
      <c r="C17" s="8">
        <f>'MEMÓRIAL DE CÁLCULO'!C17</f>
        <v>95427</v>
      </c>
      <c r="D17" s="9" t="str">
        <f>'MEMÓRIAL DE CÁLCULO'!D17</f>
        <v>TRANSPORTE COM CAMINHÃO BASCULANTE DE 18 M³, EM VIA URBANA PAVIMENTADA, ADICIONAL PARA DMT EXCEDENTE A 30 KM (UNIDADE: M3XKM). AF_07/2020</v>
      </c>
      <c r="E17" s="8" t="str">
        <f>'MEMÓRIAL DE CÁLCULO'!E17</f>
        <v>M3XKM</v>
      </c>
      <c r="F17" s="165">
        <f>'MEMÓRIAL DE CÁLCULO'!F17</f>
        <v>2998.2</v>
      </c>
      <c r="G17" s="111">
        <v>0.76</v>
      </c>
      <c r="H17" s="111">
        <f t="shared" si="5"/>
        <v>0.95</v>
      </c>
      <c r="I17" s="127">
        <f t="shared" si="7"/>
        <v>2848.29</v>
      </c>
      <c r="K17" s="112">
        <f t="shared" si="2"/>
        <v>2848.29</v>
      </c>
      <c r="M17" s="48"/>
      <c r="N17" s="120">
        <v>2998.2</v>
      </c>
      <c r="O17" s="164">
        <f t="shared" si="3"/>
        <v>0</v>
      </c>
      <c r="Q17" s="167">
        <f t="shared" si="6"/>
        <v>5619.6900000000005</v>
      </c>
    </row>
    <row r="18" spans="1:17" s="59" customFormat="1" ht="18" customHeight="1">
      <c r="A18" s="54" t="str">
        <f>'MEMÓRIAL DE CÁLCULO'!A18</f>
        <v>2.2</v>
      </c>
      <c r="B18" s="114">
        <f>'MEMÓRIAL DE CÁLCULO'!B18</f>
        <v>0</v>
      </c>
      <c r="C18" s="114">
        <f>'MEMÓRIAL DE CÁLCULO'!C18</f>
        <v>0</v>
      </c>
      <c r="D18" s="56" t="str">
        <f>'MEMÓRIAL DE CÁLCULO'!D18</f>
        <v>OBRAS COMPLEMENTARES DE PAVIMENTAÇÃO</v>
      </c>
      <c r="E18" s="114">
        <f>'MEMÓRIAL DE CÁLCULO'!E18</f>
        <v>0</v>
      </c>
      <c r="F18" s="166"/>
      <c r="G18" s="58"/>
      <c r="H18" s="58"/>
      <c r="I18" s="41">
        <f>ROUND((SUM(I19:I19)),2)</f>
        <v>17067.52</v>
      </c>
      <c r="K18" s="112">
        <f t="shared" si="2"/>
        <v>0</v>
      </c>
      <c r="M18" s="60"/>
      <c r="N18" s="121"/>
      <c r="O18" s="164">
        <f t="shared" si="3"/>
        <v>0</v>
      </c>
      <c r="Q18" s="167"/>
    </row>
    <row r="19" spans="1:17" ht="61.2" customHeight="1">
      <c r="A19" s="11" t="str">
        <f>'MEMÓRIAL DE CÁLCULO'!A19</f>
        <v>2.2.1</v>
      </c>
      <c r="B19" s="8" t="str">
        <f>'MEMÓRIAL DE CÁLCULO'!B19</f>
        <v>SINAPI</v>
      </c>
      <c r="C19" s="8">
        <f>'MEMÓRIAL DE CÁLCULO'!C19</f>
        <v>94289</v>
      </c>
      <c r="D19" s="9" t="str">
        <f>'MEMÓRIAL DE CÁLCULO'!D19</f>
        <v>EXECUÇÃO DE SARJETA DE CONCRETO USINADO, MOLDADA  IN LOCO  EM TRECHO RETO, 45 CM BASE X 10 CM ALTURA. AF_01/2024</v>
      </c>
      <c r="E19" s="8" t="str">
        <f>'MEMÓRIAL DE CÁLCULO'!E19</f>
        <v>M</v>
      </c>
      <c r="F19" s="165">
        <f>'MEMÓRIAL DE CÁLCULO'!F19</f>
        <v>297.24</v>
      </c>
      <c r="G19" s="111">
        <v>46.15</v>
      </c>
      <c r="H19" s="111">
        <f>ROUND((G19*(1+$I$7)),2)</f>
        <v>57.42</v>
      </c>
      <c r="I19" s="127">
        <f>ROUND((F19*H19),2)</f>
        <v>17067.52</v>
      </c>
      <c r="K19" s="112">
        <f t="shared" si="2"/>
        <v>17067.52</v>
      </c>
      <c r="L19" s="113"/>
      <c r="M19" s="48"/>
      <c r="N19" s="120">
        <v>297.24</v>
      </c>
      <c r="O19" s="164">
        <f t="shared" si="3"/>
        <v>0</v>
      </c>
      <c r="Q19" s="167">
        <f t="shared" si="6"/>
        <v>33498.83</v>
      </c>
    </row>
    <row r="20" spans="1:17" s="59" customFormat="1" ht="18" customHeight="1">
      <c r="A20" s="54" t="str">
        <f>'MEMÓRIAL DE CÁLCULO'!A20</f>
        <v>2.3</v>
      </c>
      <c r="B20" s="114">
        <f>'MEMÓRIAL DE CÁLCULO'!B20</f>
        <v>0</v>
      </c>
      <c r="C20" s="114">
        <f>'MEMÓRIAL DE CÁLCULO'!C20</f>
        <v>0</v>
      </c>
      <c r="D20" s="56" t="str">
        <f>'MEMÓRIAL DE CÁLCULO'!D20</f>
        <v>SINALIZAÇÃO VIÁRIA</v>
      </c>
      <c r="E20" s="114">
        <f>'MEMÓRIAL DE CÁLCULO'!E20</f>
        <v>0</v>
      </c>
      <c r="F20" s="166"/>
      <c r="G20" s="58"/>
      <c r="H20" s="58"/>
      <c r="I20" s="41">
        <f>ROUND((SUM(I21:I21)),2)</f>
        <v>952.34</v>
      </c>
      <c r="K20" s="112">
        <f t="shared" ref="K20" si="8">ROUND((H20*N20),2)</f>
        <v>0</v>
      </c>
      <c r="M20" s="60"/>
      <c r="N20" s="121"/>
      <c r="O20" s="164">
        <f t="shared" si="3"/>
        <v>0</v>
      </c>
      <c r="Q20" s="167"/>
    </row>
    <row r="21" spans="1:17" ht="67.8" customHeight="1">
      <c r="A21" s="11" t="str">
        <f>'MEMÓRIAL DE CÁLCULO'!A21</f>
        <v>2.3.1</v>
      </c>
      <c r="B21" s="8" t="str">
        <f>'MEMÓRIAL DE CÁLCULO'!B21</f>
        <v>SINAPI</v>
      </c>
      <c r="C21" s="8">
        <f>'MEMÓRIAL DE CÁLCULO'!C21</f>
        <v>102509</v>
      </c>
      <c r="D21" s="9" t="str">
        <f>'MEMÓRIAL DE CÁLCULO'!D21</f>
        <v>PINTURA DE FAIXA DE PEDESTRE OU ZEBRADA TINTA RETRORREFLETIVA A BASE DE RESINA ACRÍLICA COM MICROESFERAS DE VIDRO, E = 30 CM, APLICAÇÃO MANUAL. AF_05/2021</v>
      </c>
      <c r="E21" s="8" t="str">
        <f>'MEMÓRIAL DE CÁLCULO'!E21</f>
        <v>M2</v>
      </c>
      <c r="F21" s="165">
        <f>'MEMÓRIAL DE CÁLCULO'!F21</f>
        <v>21.6</v>
      </c>
      <c r="G21" s="111">
        <v>35.43</v>
      </c>
      <c r="H21" s="111">
        <f>ROUND((G21*(1+$I$7)),2)</f>
        <v>44.09</v>
      </c>
      <c r="I21" s="127">
        <f>ROUND((F21*H21),2)</f>
        <v>952.34</v>
      </c>
      <c r="K21" s="112">
        <f>ROUND((H21*N21),2)</f>
        <v>952.34</v>
      </c>
      <c r="L21" s="113"/>
      <c r="M21" s="48"/>
      <c r="N21" s="120">
        <v>21.6</v>
      </c>
      <c r="O21" s="164">
        <f t="shared" si="3"/>
        <v>0</v>
      </c>
      <c r="Q21" s="167">
        <f>I21+I32</f>
        <v>1904.68</v>
      </c>
    </row>
    <row r="22" spans="1:17" s="59" customFormat="1" ht="15.6">
      <c r="A22" s="54">
        <f>'MEMÓRIAL DE CÁLCULO'!A22</f>
        <v>3</v>
      </c>
      <c r="B22" s="114">
        <f>'MEMÓRIAL DE CÁLCULO'!B22</f>
        <v>0</v>
      </c>
      <c r="C22" s="114">
        <f>'MEMÓRIAL DE CÁLCULO'!C22</f>
        <v>0</v>
      </c>
      <c r="D22" s="56" t="str">
        <f>'MEMÓRIAL DE CÁLCULO'!D22</f>
        <v>RECAPEAMENTO AV. JOÃO MEIRA DOS SANTOS</v>
      </c>
      <c r="E22" s="114">
        <f>'MEMÓRIAL DE CÁLCULO'!E22</f>
        <v>0</v>
      </c>
      <c r="F22" s="166"/>
      <c r="G22" s="58"/>
      <c r="H22" s="58"/>
      <c r="I22" s="41">
        <f>ROUND((SUM(I23,I29,I31)),2)</f>
        <v>78685.41</v>
      </c>
      <c r="K22" s="112">
        <f t="shared" ref="K22:K31" si="9">ROUND((H22*N22),2)</f>
        <v>0</v>
      </c>
      <c r="L22" s="61"/>
      <c r="M22" s="60"/>
      <c r="N22" s="121"/>
      <c r="O22" s="164">
        <f t="shared" si="3"/>
        <v>0</v>
      </c>
    </row>
    <row r="23" spans="1:17" s="59" customFormat="1" ht="15.6">
      <c r="A23" s="54" t="str">
        <f>'MEMÓRIAL DE CÁLCULO'!A23</f>
        <v>3.1</v>
      </c>
      <c r="B23" s="114">
        <f>'MEMÓRIAL DE CÁLCULO'!B23</f>
        <v>0</v>
      </c>
      <c r="C23" s="114">
        <f>'MEMÓRIAL DE CÁLCULO'!C23</f>
        <v>0</v>
      </c>
      <c r="D23" s="56" t="str">
        <f>'MEMÓRIAL DE CÁLCULO'!D23</f>
        <v>PAVIMENTAÇÃO</v>
      </c>
      <c r="E23" s="114">
        <f>'MEMÓRIAL DE CÁLCULO'!E23</f>
        <v>0</v>
      </c>
      <c r="F23" s="166"/>
      <c r="G23" s="58"/>
      <c r="H23" s="58"/>
      <c r="I23" s="41">
        <f>ROUND((SUM(I24:I28)),2)</f>
        <v>61301.760000000002</v>
      </c>
      <c r="K23" s="112">
        <f t="shared" si="9"/>
        <v>0</v>
      </c>
      <c r="L23" s="61"/>
      <c r="M23" s="60"/>
      <c r="N23" s="121"/>
      <c r="O23" s="164">
        <f t="shared" si="3"/>
        <v>0</v>
      </c>
    </row>
    <row r="24" spans="1:17" ht="30">
      <c r="A24" s="11" t="str">
        <f>'MEMÓRIAL DE CÁLCULO'!A24</f>
        <v>3.1.1</v>
      </c>
      <c r="B24" s="8" t="str">
        <f>'MEMÓRIAL DE CÁLCULO'!B24</f>
        <v>SEINFRA-MG</v>
      </c>
      <c r="C24" s="8" t="str">
        <f>'MEMÓRIAL DE CÁLCULO'!C24</f>
        <v>RO-00389</v>
      </c>
      <c r="D24" s="9" t="str">
        <f>'MEMÓRIAL DE CÁLCULO'!D24</f>
        <v>Pintura de ligação (Execução, exclui fornecimento e transporte do material betuminoso até a obra)</v>
      </c>
      <c r="E24" s="8" t="str">
        <f>'MEMÓRIAL DE CÁLCULO'!E24</f>
        <v>M2</v>
      </c>
      <c r="F24" s="165">
        <f>'MEMÓRIAL DE CÁLCULO'!F24</f>
        <v>853.09</v>
      </c>
      <c r="G24" s="111">
        <v>0.32</v>
      </c>
      <c r="H24" s="111">
        <f>ROUND((G24*(1+$I$7)),2)</f>
        <v>0.4</v>
      </c>
      <c r="I24" s="127">
        <f t="shared" ref="I24:I28" si="10">ROUND((F24*H24),2)</f>
        <v>341.24</v>
      </c>
      <c r="K24" s="112">
        <f t="shared" si="9"/>
        <v>341.24</v>
      </c>
      <c r="M24" s="48"/>
      <c r="N24" s="120">
        <v>853.09</v>
      </c>
      <c r="O24" s="164">
        <f t="shared" si="3"/>
        <v>0</v>
      </c>
      <c r="Q24" s="167"/>
    </row>
    <row r="25" spans="1:17" ht="15">
      <c r="A25" s="11" t="str">
        <f>'MEMÓRIAL DE CÁLCULO'!A25</f>
        <v>3.1.2</v>
      </c>
      <c r="B25" s="8" t="str">
        <f>'MEMÓRIAL DE CÁLCULO'!B25</f>
        <v>ANP</v>
      </c>
      <c r="C25" s="8">
        <f>'MEMÓRIAL DE CÁLCULO'!C25</f>
        <v>0</v>
      </c>
      <c r="D25" s="9" t="str">
        <f>'MEMÓRIAL DE CÁLCULO'!D25</f>
        <v>Emulsão asfáltica - RR-1C</v>
      </c>
      <c r="E25" s="8" t="str">
        <f>'MEMÓRIAL DE CÁLCULO'!E25</f>
        <v>T</v>
      </c>
      <c r="F25" s="165">
        <f>'MEMÓRIAL DE CÁLCULO'!F25</f>
        <v>0.43</v>
      </c>
      <c r="G25" s="111">
        <f>ROUND((2.64501707476847*1000),2)</f>
        <v>2645.02</v>
      </c>
      <c r="H25" s="111">
        <f t="shared" ref="H25:H27" si="11">ROUND((G25*(1+$I$7)),2)</f>
        <v>3291.2</v>
      </c>
      <c r="I25" s="127">
        <f t="shared" si="10"/>
        <v>1415.22</v>
      </c>
      <c r="K25" s="112">
        <f t="shared" si="9"/>
        <v>1415.22</v>
      </c>
      <c r="M25" s="48"/>
      <c r="N25" s="120">
        <v>0.43</v>
      </c>
      <c r="O25" s="164">
        <f t="shared" si="3"/>
        <v>0</v>
      </c>
    </row>
    <row r="26" spans="1:17" ht="60">
      <c r="A26" s="11" t="str">
        <f>'MEMÓRIAL DE CÁLCULO'!A26</f>
        <v>3.1.3</v>
      </c>
      <c r="B26" s="8" t="str">
        <f>'MEMÓRIAL DE CÁLCULO'!B26</f>
        <v>SINAPI</v>
      </c>
      <c r="C26" s="8">
        <f>'MEMÓRIAL DE CÁLCULO'!C26</f>
        <v>102331</v>
      </c>
      <c r="D26" s="9" t="str">
        <f>'MEMÓRIAL DE CÁLCULO'!D26</f>
        <v>TRANSPORTE COM CAMINHÃO TANQUE DE TRANSPORTE DE MATERIAL ASFÁLTICO DE 30000 L, EM VIA URBANA PAVIMENTADA, ADICIONAL PARA DMT EXCEDENTE A 30 KM (UNIDADE: TXKM). AF_07/2020</v>
      </c>
      <c r="E26" s="8" t="str">
        <f>'MEMÓRIAL DE CÁLCULO'!E26</f>
        <v>TXKM</v>
      </c>
      <c r="F26" s="165">
        <f>'MEMÓRIAL DE CÁLCULO'!F26</f>
        <v>316.48</v>
      </c>
      <c r="G26" s="111">
        <v>0.56000000000000005</v>
      </c>
      <c r="H26" s="111">
        <f t="shared" si="11"/>
        <v>0.7</v>
      </c>
      <c r="I26" s="127">
        <f t="shared" si="10"/>
        <v>221.54</v>
      </c>
      <c r="K26" s="112">
        <f t="shared" si="9"/>
        <v>221.54</v>
      </c>
      <c r="M26" s="48"/>
      <c r="N26" s="120">
        <v>316.48</v>
      </c>
      <c r="O26" s="164">
        <f t="shared" si="3"/>
        <v>0</v>
      </c>
    </row>
    <row r="27" spans="1:17" ht="75">
      <c r="A27" s="11" t="str">
        <f>'MEMÓRIAL DE CÁLCULO'!A27</f>
        <v>3.1.4</v>
      </c>
      <c r="B27" s="8" t="str">
        <f>'MEMÓRIAL DE CÁLCULO'!B27</f>
        <v>SEINFRA-MG</v>
      </c>
      <c r="C27" s="8" t="str">
        <f>'MEMÓRIAL DE CÁLCULO'!C27</f>
        <v>ED-7623</v>
      </c>
      <c r="D27" s="9" t="str">
        <f>'MEMÓRIAL DE CÁLCULO'!D27</f>
        <v>EXECUÇÃO E APLICAÇÃO DE CONCRETO BETUMINOSO USINADO A QUENTE (CBUQ), MASSA COMERCIAL, INCLUINDO FORNECIMENTO E TRANSPORTE DOS AGREGADOS E MATERIAL BETUMINOSO, EXCLUSIVE TRANSPORTE DA MASSA ASFÁLTICA ATÉ A PISTA</v>
      </c>
      <c r="E27" s="8" t="str">
        <f>'MEMÓRIAL DE CÁLCULO'!E27</f>
        <v>M3</v>
      </c>
      <c r="F27" s="165">
        <f>'MEMÓRIAL DE CÁLCULO'!F27</f>
        <v>25.59</v>
      </c>
      <c r="G27" s="111">
        <v>1776.05</v>
      </c>
      <c r="H27" s="111">
        <f t="shared" si="11"/>
        <v>2209.94</v>
      </c>
      <c r="I27" s="127">
        <f t="shared" si="10"/>
        <v>56552.36</v>
      </c>
      <c r="K27" s="112">
        <f t="shared" si="9"/>
        <v>56552.36</v>
      </c>
      <c r="M27" s="48"/>
      <c r="N27" s="120">
        <v>25.59</v>
      </c>
      <c r="O27" s="164">
        <f t="shared" si="3"/>
        <v>0</v>
      </c>
    </row>
    <row r="28" spans="1:17" ht="55.2" customHeight="1">
      <c r="A28" s="11" t="str">
        <f>'MEMÓRIAL DE CÁLCULO'!A28</f>
        <v>3.1.5</v>
      </c>
      <c r="B28" s="8" t="str">
        <f>'MEMÓRIAL DE CÁLCULO'!B28</f>
        <v>SINAPI</v>
      </c>
      <c r="C28" s="8">
        <f>'MEMÓRIAL DE CÁLCULO'!C28</f>
        <v>95427</v>
      </c>
      <c r="D28" s="9" t="str">
        <f>'MEMÓRIAL DE CÁLCULO'!D28</f>
        <v>TRANSPORTE COM CAMINHÃO BASCULANTE DE 18 M³, EM VIA URBANA PAVIMENTADA, ADICIONAL PARA DMT EXCEDENTE A 30 KM (UNIDADE: M3XKM). AF_07/2020</v>
      </c>
      <c r="E28" s="8" t="str">
        <f>'MEMÓRIAL DE CÁLCULO'!E28</f>
        <v>M3XKM</v>
      </c>
      <c r="F28" s="165">
        <f>'MEMÓRIAL DE CÁLCULO'!F28</f>
        <v>2917.26</v>
      </c>
      <c r="G28" s="111">
        <v>0.76</v>
      </c>
      <c r="H28" s="111">
        <f>ROUND((G28*(1+$I$7)),2)</f>
        <v>0.95</v>
      </c>
      <c r="I28" s="127">
        <f t="shared" si="10"/>
        <v>2771.4</v>
      </c>
      <c r="K28" s="112">
        <f t="shared" si="9"/>
        <v>2771.4</v>
      </c>
      <c r="M28" s="48"/>
      <c r="N28" s="120">
        <v>2917.26</v>
      </c>
      <c r="O28" s="164">
        <f t="shared" si="3"/>
        <v>0</v>
      </c>
    </row>
    <row r="29" spans="1:17" s="59" customFormat="1" ht="18" customHeight="1">
      <c r="A29" s="54" t="str">
        <f>'MEMÓRIAL DE CÁLCULO'!A29</f>
        <v>3.2</v>
      </c>
      <c r="B29" s="114">
        <f>'MEMÓRIAL DE CÁLCULO'!B29</f>
        <v>0</v>
      </c>
      <c r="C29" s="114">
        <f>'MEMÓRIAL DE CÁLCULO'!C29</f>
        <v>0</v>
      </c>
      <c r="D29" s="56" t="str">
        <f>'MEMÓRIAL DE CÁLCULO'!D29</f>
        <v>OBRAS COMPLEMENTARES DE PAVIMENTAÇÃO</v>
      </c>
      <c r="E29" s="114">
        <f>'MEMÓRIAL DE CÁLCULO'!E29</f>
        <v>0</v>
      </c>
      <c r="F29" s="166"/>
      <c r="G29" s="58"/>
      <c r="H29" s="58"/>
      <c r="I29" s="41">
        <f>ROUND((SUM(I30:I30)),2)</f>
        <v>16431.310000000001</v>
      </c>
      <c r="K29" s="112">
        <f t="shared" si="9"/>
        <v>0</v>
      </c>
      <c r="M29" s="60"/>
      <c r="N29" s="121"/>
      <c r="O29" s="164">
        <f t="shared" si="3"/>
        <v>0</v>
      </c>
    </row>
    <row r="30" spans="1:17" ht="55.2" customHeight="1">
      <c r="A30" s="11" t="str">
        <f>'MEMÓRIAL DE CÁLCULO'!A30</f>
        <v>3.2.1</v>
      </c>
      <c r="B30" s="8" t="str">
        <f>'MEMÓRIAL DE CÁLCULO'!B30</f>
        <v>SINAPI</v>
      </c>
      <c r="C30" s="8">
        <f>'MEMÓRIAL DE CÁLCULO'!C30</f>
        <v>94289</v>
      </c>
      <c r="D30" s="9" t="str">
        <f>'MEMÓRIAL DE CÁLCULO'!D30</f>
        <v>EXECUÇÃO DE SARJETA DE CONCRETO USINADO, MOLDADA  IN LOCO  EM TRECHO RETO, 45 CM BASE X 10 CM ALTURA. AF_01/2024</v>
      </c>
      <c r="E30" s="8" t="str">
        <f>'MEMÓRIAL DE CÁLCULO'!E30</f>
        <v>M</v>
      </c>
      <c r="F30" s="165">
        <f>'MEMÓRIAL DE CÁLCULO'!F30</f>
        <v>286.16000000000003</v>
      </c>
      <c r="G30" s="111">
        <v>46.15</v>
      </c>
      <c r="H30" s="111">
        <f>ROUND((G30*(1+$I$7)),2)</f>
        <v>57.42</v>
      </c>
      <c r="I30" s="127">
        <f>ROUND((F30*H30),2)</f>
        <v>16431.310000000001</v>
      </c>
      <c r="K30" s="112">
        <f t="shared" si="9"/>
        <v>16431.310000000001</v>
      </c>
      <c r="L30" s="113"/>
      <c r="M30" s="48"/>
      <c r="N30" s="120">
        <v>286.16000000000003</v>
      </c>
      <c r="O30" s="164">
        <f t="shared" si="3"/>
        <v>0</v>
      </c>
    </row>
    <row r="31" spans="1:17" s="59" customFormat="1" ht="18" customHeight="1">
      <c r="A31" s="54" t="str">
        <f>'MEMÓRIAL DE CÁLCULO'!A31</f>
        <v>3.3</v>
      </c>
      <c r="B31" s="114">
        <f>'MEMÓRIAL DE CÁLCULO'!B31</f>
        <v>0</v>
      </c>
      <c r="C31" s="114">
        <f>'MEMÓRIAL DE CÁLCULO'!C31</f>
        <v>0</v>
      </c>
      <c r="D31" s="56" t="str">
        <f>'MEMÓRIAL DE CÁLCULO'!D31</f>
        <v>SINALIZAÇÃO VIÁRIA</v>
      </c>
      <c r="E31" s="114">
        <f>'MEMÓRIAL DE CÁLCULO'!E31</f>
        <v>0</v>
      </c>
      <c r="F31" s="166"/>
      <c r="G31" s="58"/>
      <c r="H31" s="58"/>
      <c r="I31" s="41">
        <f>ROUND((SUM(I32:I32)),2)</f>
        <v>952.34</v>
      </c>
      <c r="K31" s="112">
        <f t="shared" si="9"/>
        <v>0</v>
      </c>
      <c r="M31" s="60"/>
      <c r="N31" s="121"/>
      <c r="O31" s="164">
        <f t="shared" si="3"/>
        <v>0</v>
      </c>
    </row>
    <row r="32" spans="1:17" ht="66.599999999999994" customHeight="1">
      <c r="A32" s="11" t="str">
        <f>'MEMÓRIAL DE CÁLCULO'!A32</f>
        <v>3.3.1</v>
      </c>
      <c r="B32" s="8" t="str">
        <f>'MEMÓRIAL DE CÁLCULO'!B32</f>
        <v>SINAPI</v>
      </c>
      <c r="C32" s="8">
        <f>'MEMÓRIAL DE CÁLCULO'!C32</f>
        <v>102509</v>
      </c>
      <c r="D32" s="9" t="str">
        <f>'MEMÓRIAL DE CÁLCULO'!D32</f>
        <v>PINTURA DE FAIXA DE PEDESTRE OU ZEBRADA TINTA RETRORREFLETIVA A BASE DE RESINA ACRÍLICA COM MICROESFERAS DE VIDRO, E = 30 CM, APLICAÇÃO MANUAL. AF_05/2021</v>
      </c>
      <c r="E32" s="8" t="str">
        <f>'MEMÓRIAL DE CÁLCULO'!E32</f>
        <v>M2</v>
      </c>
      <c r="F32" s="165">
        <f>'MEMÓRIAL DE CÁLCULO'!F32</f>
        <v>21.6</v>
      </c>
      <c r="G32" s="111">
        <v>35.43</v>
      </c>
      <c r="H32" s="111">
        <f>ROUND((G32*(1+$I$7)),2)</f>
        <v>44.09</v>
      </c>
      <c r="I32" s="127">
        <f>ROUND((F32*H32),2)</f>
        <v>952.34</v>
      </c>
      <c r="K32" s="112">
        <f>ROUND((H32*N32),2)</f>
        <v>952.34</v>
      </c>
      <c r="L32" s="113"/>
      <c r="M32" s="48"/>
      <c r="N32" s="120">
        <v>21.6</v>
      </c>
      <c r="O32" s="164">
        <f t="shared" si="3"/>
        <v>0</v>
      </c>
    </row>
    <row r="33" spans="1:17" s="22" customFormat="1" ht="15.6">
      <c r="A33" s="229" t="s">
        <v>16</v>
      </c>
      <c r="B33" s="230"/>
      <c r="C33" s="231"/>
      <c r="D33" s="231"/>
      <c r="E33" s="231"/>
      <c r="F33" s="231"/>
      <c r="G33" s="231"/>
      <c r="H33" s="231"/>
      <c r="I33" s="41">
        <f>ROUND((SUM(I9,I11,I22)),2)</f>
        <v>162507.14000000001</v>
      </c>
      <c r="J33" s="23"/>
      <c r="K33" s="47">
        <f>SUM(K10:K32)</f>
        <v>162507.13999999998</v>
      </c>
      <c r="L33" s="47"/>
      <c r="M33" s="47"/>
      <c r="N33" s="47"/>
      <c r="O33" s="47">
        <f>SUM(O10:O32)</f>
        <v>0</v>
      </c>
      <c r="Q33" s="167">
        <f>SUM(Q10:Q32)</f>
        <v>162507.14000000001</v>
      </c>
    </row>
    <row r="34" spans="1:17" ht="48" customHeight="1">
      <c r="A34" s="17"/>
      <c r="B34" s="18"/>
      <c r="C34" s="18"/>
      <c r="D34" s="18"/>
      <c r="E34" s="18"/>
      <c r="F34" s="18"/>
      <c r="G34" s="18"/>
      <c r="H34" s="18"/>
      <c r="I34" s="19"/>
      <c r="L34" s="1">
        <f t="shared" ref="L34:L43" si="12">H34*F34</f>
        <v>0</v>
      </c>
    </row>
    <row r="35" spans="1:17" ht="14.1" customHeight="1">
      <c r="A35" s="181" t="s">
        <v>25</v>
      </c>
      <c r="B35" s="182"/>
      <c r="C35" s="182"/>
      <c r="D35" s="182"/>
      <c r="E35" s="182"/>
      <c r="F35" s="182"/>
      <c r="G35" s="182"/>
      <c r="H35" s="182"/>
      <c r="I35" s="183"/>
      <c r="K35" s="16"/>
      <c r="L35" s="1">
        <f t="shared" ref="L35" si="13">H35*F35</f>
        <v>0</v>
      </c>
    </row>
    <row r="36" spans="1:17" ht="15.6">
      <c r="A36" s="184" t="s">
        <v>69</v>
      </c>
      <c r="B36" s="185"/>
      <c r="C36" s="185"/>
      <c r="D36" s="185"/>
      <c r="E36" s="185"/>
      <c r="F36" s="185"/>
      <c r="G36" s="185"/>
      <c r="H36" s="185"/>
      <c r="I36" s="186"/>
      <c r="J36" s="13"/>
      <c r="K36" s="14"/>
      <c r="L36" s="1">
        <f t="shared" si="12"/>
        <v>0</v>
      </c>
      <c r="M36" s="167">
        <f>K33-I33</f>
        <v>0</v>
      </c>
    </row>
    <row r="37" spans="1:17" s="50" customFormat="1" ht="18" customHeight="1">
      <c r="A37" s="184" t="s">
        <v>76</v>
      </c>
      <c r="B37" s="185"/>
      <c r="C37" s="185"/>
      <c r="D37" s="185"/>
      <c r="E37" s="185"/>
      <c r="F37" s="185"/>
      <c r="G37" s="185"/>
      <c r="H37" s="185"/>
      <c r="I37" s="186"/>
      <c r="J37" s="97"/>
      <c r="K37" s="98"/>
      <c r="L37" s="50">
        <f t="shared" si="12"/>
        <v>0</v>
      </c>
    </row>
    <row r="38" spans="1:17" ht="11.25" customHeight="1">
      <c r="A38" s="104"/>
      <c r="B38" s="105"/>
      <c r="C38" s="105"/>
      <c r="D38" s="105"/>
      <c r="E38" s="105"/>
      <c r="F38" s="105"/>
      <c r="G38" s="105"/>
      <c r="H38" s="105"/>
      <c r="I38" s="106"/>
      <c r="K38" s="16"/>
      <c r="L38" s="1">
        <f t="shared" si="12"/>
        <v>0</v>
      </c>
    </row>
    <row r="39" spans="1:17" ht="47.4" customHeight="1">
      <c r="A39" s="102"/>
      <c r="B39" s="103"/>
      <c r="C39" s="105"/>
      <c r="D39" s="105"/>
      <c r="E39" s="105"/>
      <c r="F39" s="105"/>
      <c r="G39" s="105"/>
      <c r="H39" s="105"/>
      <c r="I39" s="106"/>
      <c r="K39" s="16"/>
      <c r="L39" s="1">
        <f t="shared" si="12"/>
        <v>0</v>
      </c>
    </row>
    <row r="40" spans="1:17" ht="14.1" customHeight="1">
      <c r="A40" s="181" t="s">
        <v>25</v>
      </c>
      <c r="B40" s="182"/>
      <c r="C40" s="182"/>
      <c r="D40" s="182"/>
      <c r="E40" s="182"/>
      <c r="F40" s="182"/>
      <c r="G40" s="182"/>
      <c r="H40" s="182"/>
      <c r="I40" s="183"/>
      <c r="K40" s="16"/>
      <c r="L40" s="1">
        <f t="shared" si="12"/>
        <v>0</v>
      </c>
    </row>
    <row r="41" spans="1:17" ht="14.25" customHeight="1">
      <c r="A41" s="184" t="s">
        <v>26</v>
      </c>
      <c r="B41" s="185"/>
      <c r="C41" s="185"/>
      <c r="D41" s="185"/>
      <c r="E41" s="185"/>
      <c r="F41" s="185"/>
      <c r="G41" s="185"/>
      <c r="H41" s="185"/>
      <c r="I41" s="186"/>
      <c r="J41" s="13"/>
      <c r="K41" s="14"/>
      <c r="L41" s="1">
        <f t="shared" si="12"/>
        <v>0</v>
      </c>
    </row>
    <row r="42" spans="1:17" s="50" customFormat="1" ht="18.75" customHeight="1">
      <c r="A42" s="184" t="s">
        <v>77</v>
      </c>
      <c r="B42" s="185"/>
      <c r="C42" s="185"/>
      <c r="D42" s="185"/>
      <c r="E42" s="185"/>
      <c r="F42" s="185"/>
      <c r="G42" s="185"/>
      <c r="H42" s="185"/>
      <c r="I42" s="186"/>
      <c r="J42" s="97"/>
      <c r="K42" s="98"/>
      <c r="L42" s="50">
        <f t="shared" si="12"/>
        <v>0</v>
      </c>
    </row>
    <row r="43" spans="1:17" ht="17.25" customHeight="1" thickBot="1">
      <c r="A43" s="107"/>
      <c r="B43" s="108"/>
      <c r="C43" s="196"/>
      <c r="D43" s="196"/>
      <c r="E43" s="108"/>
      <c r="F43" s="196"/>
      <c r="G43" s="196"/>
      <c r="H43" s="109"/>
      <c r="I43" s="110"/>
      <c r="L43" s="1">
        <f t="shared" si="12"/>
        <v>0</v>
      </c>
    </row>
  </sheetData>
  <mergeCells count="21">
    <mergeCell ref="A33:H33"/>
    <mergeCell ref="C43:D43"/>
    <mergeCell ref="F43:G43"/>
    <mergeCell ref="A35:I35"/>
    <mergeCell ref="A36:I36"/>
    <mergeCell ref="A37:I37"/>
    <mergeCell ref="A40:I40"/>
    <mergeCell ref="A41:I41"/>
    <mergeCell ref="A42:I42"/>
    <mergeCell ref="A1:I1"/>
    <mergeCell ref="A5:E5"/>
    <mergeCell ref="F6:F7"/>
    <mergeCell ref="A7:E7"/>
    <mergeCell ref="A3:F3"/>
    <mergeCell ref="A4:F4"/>
    <mergeCell ref="F5:I5"/>
    <mergeCell ref="G3:I3"/>
    <mergeCell ref="A6:E6"/>
    <mergeCell ref="G6:G7"/>
    <mergeCell ref="A2:I2"/>
    <mergeCell ref="H4:I4"/>
  </mergeCells>
  <phoneticPr fontId="3" type="noConversion"/>
  <pageMargins left="0.7" right="0.7" top="0.75" bottom="0.75" header="0.3" footer="0.3"/>
  <pageSetup paperSize="9" scale="70" fitToHeight="0" orientation="landscape" horizontalDpi="4294967295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3"/>
  <sheetViews>
    <sheetView view="pageBreakPreview" zoomScale="115" zoomScaleNormal="100" zoomScaleSheetLayoutView="115" workbookViewId="0">
      <selection activeCell="B11" sqref="B11"/>
    </sheetView>
  </sheetViews>
  <sheetFormatPr defaultRowHeight="13.2"/>
  <cols>
    <col min="1" max="1" width="16.77734375" bestFit="1" customWidth="1"/>
    <col min="2" max="2" width="56.44140625" bestFit="1" customWidth="1"/>
    <col min="3" max="3" width="7.77734375" customWidth="1"/>
    <col min="4" max="4" width="12.21875" customWidth="1"/>
  </cols>
  <sheetData>
    <row r="1" spans="1:8" ht="16.2" customHeight="1" thickBot="1">
      <c r="A1" s="232" t="s">
        <v>81</v>
      </c>
      <c r="B1" s="233"/>
      <c r="C1" s="233"/>
      <c r="D1" s="94"/>
      <c r="E1" s="63"/>
      <c r="F1" s="63"/>
      <c r="G1" s="63"/>
      <c r="H1" s="64"/>
    </row>
    <row r="2" spans="1:8" ht="51.6" customHeight="1" thickBot="1">
      <c r="A2" s="234"/>
      <c r="B2" s="235"/>
      <c r="C2" s="235"/>
      <c r="D2" s="95"/>
    </row>
    <row r="3" spans="1:8" s="33" customFormat="1" ht="13.8" thickBot="1">
      <c r="A3" s="259" t="s">
        <v>67</v>
      </c>
      <c r="B3" s="260"/>
      <c r="C3" s="260"/>
      <c r="D3" s="261"/>
    </row>
    <row r="4" spans="1:8" s="34" customFormat="1" ht="28.2" customHeight="1">
      <c r="A4" s="262" t="s">
        <v>27</v>
      </c>
      <c r="B4" s="263"/>
      <c r="C4" s="263"/>
      <c r="D4" s="264"/>
    </row>
    <row r="5" spans="1:8">
      <c r="A5" s="256" t="str">
        <f>'PLANILHA ORÇAMENTÁRIA'!A3:F3</f>
        <v>PREFEITURA: PREFEITURA MUNICIPAL DE DIVISA ALEGRE - MG</v>
      </c>
      <c r="B5" s="257"/>
      <c r="C5" s="257"/>
      <c r="D5" s="258"/>
    </row>
    <row r="6" spans="1:8" ht="30.75" customHeight="1">
      <c r="A6" s="256" t="str">
        <f>'PLANILHA ORÇAMENTÁRIA'!A4:F4</f>
        <v>OBJETO: RECAPEAMENTO ASFÁLTICO EM CONCRETO BETUMINOSO USINADO A QUENTE (CBUQ) NO MUNICÍPIO DE DIVISA ALEGRE - MG</v>
      </c>
      <c r="B6" s="257"/>
      <c r="C6" s="257"/>
      <c r="D6" s="258"/>
    </row>
    <row r="7" spans="1:8">
      <c r="A7" s="256" t="str">
        <f>'PLANILHA ORÇAMENTÁRIA'!A5:E5</f>
        <v>LOCAL: AVENIDA JOÃO MEIRA DOS SANTOS E AVENIDA BEIJA-FLOR</v>
      </c>
      <c r="B7" s="257"/>
      <c r="C7" s="257"/>
      <c r="D7" s="258"/>
    </row>
    <row r="8" spans="1:8" ht="30.6" customHeight="1">
      <c r="A8" s="256" t="str">
        <f>'PLANILHA ORÇAMENTÁRIA'!A6:E6</f>
        <v>REGIÃO/MÊS DE REFERÊNCIA: SEINFRA/REGIÃO JEQUITINHONHA 04/2025 NÃO DESONERADO // SINAPI-MG 08/2025 NÃO DESONERADO //  ANP 07/2025</v>
      </c>
      <c r="B8" s="257"/>
      <c r="C8" s="257"/>
      <c r="D8" s="258"/>
    </row>
    <row r="9" spans="1:8" s="34" customFormat="1">
      <c r="A9" s="242" t="s">
        <v>28</v>
      </c>
      <c r="B9" s="243"/>
      <c r="C9" s="243"/>
      <c r="D9" s="244"/>
    </row>
    <row r="10" spans="1:8" s="37" customFormat="1">
      <c r="A10" s="35" t="s">
        <v>0</v>
      </c>
      <c r="B10" s="245" t="s">
        <v>29</v>
      </c>
      <c r="C10" s="245"/>
      <c r="D10" s="246"/>
    </row>
    <row r="11" spans="1:8" s="37" customFormat="1">
      <c r="A11" s="35">
        <v>1</v>
      </c>
      <c r="B11" s="38" t="s">
        <v>30</v>
      </c>
      <c r="C11" s="36" t="s">
        <v>31</v>
      </c>
      <c r="D11" s="39"/>
    </row>
    <row r="12" spans="1:8">
      <c r="A12" s="65" t="s">
        <v>12</v>
      </c>
      <c r="B12" s="66" t="s">
        <v>32</v>
      </c>
      <c r="C12" s="67" t="s">
        <v>33</v>
      </c>
      <c r="D12" s="68">
        <v>4.6699999999999998E-2</v>
      </c>
    </row>
    <row r="13" spans="1:8">
      <c r="A13" s="65" t="s">
        <v>34</v>
      </c>
      <c r="B13" s="66" t="s">
        <v>35</v>
      </c>
      <c r="C13" s="67" t="s">
        <v>36</v>
      </c>
      <c r="D13" s="69">
        <v>9.7000000000000003E-3</v>
      </c>
    </row>
    <row r="14" spans="1:8">
      <c r="A14" s="65" t="s">
        <v>37</v>
      </c>
      <c r="B14" s="66" t="s">
        <v>38</v>
      </c>
      <c r="C14" s="67" t="s">
        <v>39</v>
      </c>
      <c r="D14" s="69">
        <v>7.4000000000000003E-3</v>
      </c>
    </row>
    <row r="15" spans="1:8">
      <c r="A15" s="65" t="s">
        <v>40</v>
      </c>
      <c r="B15" s="66" t="s">
        <v>68</v>
      </c>
      <c r="C15" s="67" t="s">
        <v>41</v>
      </c>
      <c r="D15" s="70">
        <v>0.01</v>
      </c>
    </row>
    <row r="16" spans="1:8">
      <c r="A16" s="65" t="s">
        <v>42</v>
      </c>
      <c r="B16" s="66" t="s">
        <v>43</v>
      </c>
      <c r="C16" s="67" t="s">
        <v>44</v>
      </c>
      <c r="D16" s="69">
        <v>7.5300000000000006E-2</v>
      </c>
    </row>
    <row r="17" spans="1:4" s="37" customFormat="1">
      <c r="A17" s="35">
        <v>2</v>
      </c>
      <c r="B17" s="38" t="s">
        <v>45</v>
      </c>
      <c r="C17" s="36" t="s">
        <v>46</v>
      </c>
      <c r="D17" s="40"/>
    </row>
    <row r="18" spans="1:4">
      <c r="A18" s="65" t="s">
        <v>13</v>
      </c>
      <c r="B18" s="28" t="s">
        <v>47</v>
      </c>
      <c r="C18" s="29" t="s">
        <v>48</v>
      </c>
      <c r="D18" s="68">
        <v>0.03</v>
      </c>
    </row>
    <row r="19" spans="1:4">
      <c r="A19" s="65" t="s">
        <v>49</v>
      </c>
      <c r="B19" s="28" t="s">
        <v>50</v>
      </c>
      <c r="C19" s="29" t="s">
        <v>51</v>
      </c>
      <c r="D19" s="71">
        <v>3.5000000000000003E-2</v>
      </c>
    </row>
    <row r="20" spans="1:4">
      <c r="A20" s="65" t="s">
        <v>52</v>
      </c>
      <c r="B20" s="28" t="s">
        <v>53</v>
      </c>
      <c r="C20" s="29" t="s">
        <v>54</v>
      </c>
      <c r="D20" s="68">
        <v>6.4999999999999997E-3</v>
      </c>
    </row>
    <row r="21" spans="1:4">
      <c r="A21" s="65" t="s">
        <v>55</v>
      </c>
      <c r="B21" s="28" t="s">
        <v>56</v>
      </c>
      <c r="C21" s="29" t="s">
        <v>57</v>
      </c>
      <c r="D21" s="69">
        <v>0</v>
      </c>
    </row>
    <row r="22" spans="1:4">
      <c r="A22" s="247" t="s">
        <v>58</v>
      </c>
      <c r="B22" s="248"/>
      <c r="C22" s="248"/>
      <c r="D22" s="30">
        <f>ROUND((((1+(D12+D13+D14))*(1+D15)*(1+D16)/(1-(D18+D19+D20+D21)))-1),4)</f>
        <v>0.24429999999999999</v>
      </c>
    </row>
    <row r="23" spans="1:4">
      <c r="A23" s="72"/>
      <c r="B23" s="249"/>
      <c r="C23" s="249"/>
      <c r="D23" s="73"/>
    </row>
    <row r="24" spans="1:4">
      <c r="A24" s="74"/>
      <c r="B24" s="128"/>
      <c r="C24" s="128"/>
      <c r="D24" s="75"/>
    </row>
    <row r="25" spans="1:4">
      <c r="A25" s="119" t="s">
        <v>94</v>
      </c>
      <c r="B25" s="129">
        <f ca="1">TODAY()</f>
        <v>45952</v>
      </c>
      <c r="C25" s="128"/>
      <c r="D25" s="75"/>
    </row>
    <row r="26" spans="1:4">
      <c r="A26" s="74"/>
      <c r="B26" s="128"/>
      <c r="C26" s="128"/>
      <c r="D26" s="75"/>
    </row>
    <row r="27" spans="1:4">
      <c r="A27" s="74"/>
      <c r="B27" s="128"/>
      <c r="C27" s="128"/>
      <c r="D27" s="75"/>
    </row>
    <row r="28" spans="1:4">
      <c r="A28" s="250" t="s">
        <v>59</v>
      </c>
      <c r="B28" s="251"/>
      <c r="C28" s="251"/>
      <c r="D28" s="252"/>
    </row>
    <row r="29" spans="1:4">
      <c r="A29" s="253" t="str">
        <f>'PLANILHA ORÇAMENTÁRIA'!A36:I36</f>
        <v>MARCOS VINÍCIUS COSTA FRÓIS</v>
      </c>
      <c r="B29" s="254"/>
      <c r="C29" s="254"/>
      <c r="D29" s="255"/>
    </row>
    <row r="30" spans="1:4" s="96" customFormat="1">
      <c r="A30" s="236" t="str">
        <f>'PLANILHA ORÇAMENTÁRIA'!A37:I37</f>
        <v>ENGENHEIRO CIVIL - CREA-MG: 250000/D</v>
      </c>
      <c r="B30" s="237"/>
      <c r="C30" s="237"/>
      <c r="D30" s="238"/>
    </row>
    <row r="31" spans="1:4">
      <c r="A31" s="31"/>
      <c r="B31" s="130"/>
      <c r="C31" s="130"/>
      <c r="D31" s="32"/>
    </row>
    <row r="32" spans="1:4">
      <c r="A32" s="239"/>
      <c r="B32" s="240"/>
      <c r="C32" s="240"/>
      <c r="D32" s="241"/>
    </row>
    <row r="33" spans="1:4" ht="13.8" thickBot="1">
      <c r="A33" s="76"/>
      <c r="B33" s="77"/>
      <c r="C33" s="77"/>
      <c r="D33" s="78"/>
    </row>
  </sheetData>
  <mergeCells count="15">
    <mergeCell ref="A1:C2"/>
    <mergeCell ref="A30:D30"/>
    <mergeCell ref="A32:D32"/>
    <mergeCell ref="A9:D9"/>
    <mergeCell ref="B10:D10"/>
    <mergeCell ref="A22:C22"/>
    <mergeCell ref="B23:C23"/>
    <mergeCell ref="A28:D28"/>
    <mergeCell ref="A29:D29"/>
    <mergeCell ref="A8:D8"/>
    <mergeCell ref="A3:D3"/>
    <mergeCell ref="A4:D4"/>
    <mergeCell ref="A5:D5"/>
    <mergeCell ref="A6:D6"/>
    <mergeCell ref="A7:D7"/>
  </mergeCells>
  <pageMargins left="0.511811024" right="0.511811024" top="0.78740157499999996" bottom="0.78740157499999996" header="0.31496062000000002" footer="0.31496062000000002"/>
  <pageSetup paperSize="9" scale="9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6"/>
  <sheetViews>
    <sheetView tabSelected="1" view="pageBreakPreview" topLeftCell="A13" zoomScaleNormal="100" zoomScaleSheetLayoutView="100" workbookViewId="0">
      <selection activeCell="A4" sqref="A4:M4"/>
    </sheetView>
  </sheetViews>
  <sheetFormatPr defaultRowHeight="13.2"/>
  <cols>
    <col min="1" max="1" width="8.109375" customWidth="1"/>
    <col min="3" max="3" width="24.109375" customWidth="1"/>
    <col min="4" max="4" width="25.5546875" bestFit="1" customWidth="1"/>
    <col min="5" max="5" width="9.6640625" bestFit="1" customWidth="1"/>
    <col min="6" max="6" width="17.33203125" bestFit="1" customWidth="1"/>
    <col min="7" max="7" width="9.77734375" bestFit="1" customWidth="1"/>
    <col min="8" max="8" width="17.33203125" bestFit="1" customWidth="1"/>
    <col min="9" max="9" width="9.77734375" bestFit="1" customWidth="1"/>
    <col min="10" max="10" width="8.6640625" customWidth="1"/>
    <col min="11" max="11" width="11.6640625" customWidth="1"/>
    <col min="12" max="12" width="17.33203125" bestFit="1" customWidth="1"/>
    <col min="13" max="13" width="14.6640625" customWidth="1"/>
  </cols>
  <sheetData>
    <row r="1" spans="1:13" s="1" customFormat="1" ht="93" customHeight="1">
      <c r="A1" s="265" t="s">
        <v>74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7"/>
    </row>
    <row r="2" spans="1:13" ht="17.399999999999999" customHeight="1">
      <c r="A2" s="287" t="str">
        <f>'PLANILHA ORÇAMENTÁRIA'!A3:F3</f>
        <v>PREFEITURA: PREFEITURA MUNICIPAL DE DIVISA ALEGRE - MG</v>
      </c>
      <c r="B2" s="288"/>
      <c r="C2" s="288"/>
      <c r="D2" s="288"/>
      <c r="E2" s="288"/>
      <c r="F2" s="288"/>
      <c r="G2" s="288"/>
      <c r="H2" s="288"/>
      <c r="I2" s="288"/>
      <c r="J2" s="288"/>
      <c r="K2" s="289"/>
      <c r="L2" s="277" t="s">
        <v>17</v>
      </c>
      <c r="M2" s="278"/>
    </row>
    <row r="3" spans="1:13" ht="15.6">
      <c r="A3" s="282" t="str">
        <f>'PLANILHA ORÇAMENTÁRIA'!A4:F4</f>
        <v>OBJETO: RECAPEAMENTO ASFÁLTICO EM CONCRETO BETUMINOSO USINADO A QUENTE (CBUQ) NO MUNICÍPIO DE DIVISA ALEGRE - MG</v>
      </c>
      <c r="B3" s="283"/>
      <c r="C3" s="283"/>
      <c r="D3" s="283"/>
      <c r="E3" s="283"/>
      <c r="F3" s="283"/>
      <c r="G3" s="283"/>
      <c r="H3" s="283"/>
      <c r="I3" s="283"/>
      <c r="J3" s="283"/>
      <c r="K3" s="290"/>
      <c r="L3" s="117" t="str">
        <f>'PLANILHA ORÇAMENTÁRIA'!G4</f>
        <v>DATA:</v>
      </c>
      <c r="M3" s="124">
        <f ca="1">TODAY()</f>
        <v>45952</v>
      </c>
    </row>
    <row r="4" spans="1:13" ht="16.8" customHeight="1">
      <c r="A4" s="279" t="str">
        <f>'PLANILHA ORÇAMENTÁRIA'!A5:E5</f>
        <v>LOCAL: AVENIDA JOÃO MEIRA DOS SANTOS E AVENIDA BEIJA-FLOR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1"/>
    </row>
    <row r="5" spans="1:13" ht="15.75" customHeight="1">
      <c r="A5" s="282" t="str">
        <f>'PLANILHA ORÇAMENTÁRIA'!A6:E6</f>
        <v>REGIÃO/MÊS DE REFERÊNCIA: SEINFRA/REGIÃO JEQUITINHONHA 04/2025 NÃO DESONERADO // SINAPI-MG 08/2025 NÃO DESONERADO //  ANP 07/2025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4"/>
    </row>
    <row r="6" spans="1:13" ht="13.5" customHeight="1" thickBot="1">
      <c r="A6" s="274" t="str">
        <f>'PLANILHA ORÇAMENTÁRIA'!A7:E7</f>
        <v>PRAZO DE EXECUÇÃO: 02 MESES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6"/>
    </row>
    <row r="7" spans="1:13" ht="16.2" thickBot="1">
      <c r="A7" s="271" t="s">
        <v>60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3"/>
    </row>
    <row r="8" spans="1:13" s="34" customFormat="1" ht="15.6">
      <c r="A8" s="131" t="s">
        <v>0</v>
      </c>
      <c r="B8" s="286" t="s">
        <v>1</v>
      </c>
      <c r="C8" s="286"/>
      <c r="D8" s="286" t="s">
        <v>61</v>
      </c>
      <c r="E8" s="286"/>
      <c r="F8" s="286" t="s">
        <v>62</v>
      </c>
      <c r="G8" s="286"/>
      <c r="H8" s="286" t="s">
        <v>78</v>
      </c>
      <c r="I8" s="286"/>
      <c r="J8" s="286" t="s">
        <v>79</v>
      </c>
      <c r="K8" s="286"/>
      <c r="L8" s="286" t="s">
        <v>63</v>
      </c>
      <c r="M8" s="294"/>
    </row>
    <row r="9" spans="1:13" ht="15.6">
      <c r="A9" s="132"/>
      <c r="B9" s="295"/>
      <c r="C9" s="295"/>
      <c r="D9" s="79" t="s">
        <v>64</v>
      </c>
      <c r="E9" s="79" t="s">
        <v>65</v>
      </c>
      <c r="F9" s="79" t="s">
        <v>64</v>
      </c>
      <c r="G9" s="79" t="s">
        <v>65</v>
      </c>
      <c r="H9" s="79" t="s">
        <v>64</v>
      </c>
      <c r="I9" s="79" t="s">
        <v>65</v>
      </c>
      <c r="J9" s="79" t="s">
        <v>64</v>
      </c>
      <c r="K9" s="79" t="s">
        <v>65</v>
      </c>
      <c r="L9" s="80" t="s">
        <v>64</v>
      </c>
      <c r="M9" s="133" t="s">
        <v>65</v>
      </c>
    </row>
    <row r="10" spans="1:13" ht="31.8" customHeight="1">
      <c r="A10" s="134">
        <f>'PLANILHA ORÇAMENTÁRIA'!A9</f>
        <v>1</v>
      </c>
      <c r="B10" s="285" t="str">
        <f>'PLANILHA ORÇAMENTÁRIA'!D9</f>
        <v>INSTALAÇÕES INICIAIS DA OBRA</v>
      </c>
      <c r="C10" s="285"/>
      <c r="D10" s="81">
        <f>'PLANILHA ORÇAMENTÁRIA'!I9</f>
        <v>2806.7</v>
      </c>
      <c r="E10" s="82">
        <f>D10/$D$14</f>
        <v>1.7271241128235963E-2</v>
      </c>
      <c r="F10" s="83">
        <f>$D$10*G10</f>
        <v>2806.7</v>
      </c>
      <c r="G10" s="82">
        <v>1</v>
      </c>
      <c r="H10" s="83"/>
      <c r="I10" s="82"/>
      <c r="J10" s="83"/>
      <c r="K10" s="82"/>
      <c r="L10" s="84">
        <f>F10+H10+J10</f>
        <v>2806.7</v>
      </c>
      <c r="M10" s="135">
        <f>G10+I10+K10</f>
        <v>1</v>
      </c>
    </row>
    <row r="11" spans="1:13" ht="35.25" customHeight="1">
      <c r="A11" s="134">
        <f>'PLANILHA ORÇAMENTÁRIA'!A11</f>
        <v>2</v>
      </c>
      <c r="B11" s="285" t="str">
        <f>'PLANILHA ORÇAMENTÁRIA'!D11</f>
        <v>RECAPEAMENTO AV. BEIJA-FLOR</v>
      </c>
      <c r="C11" s="285"/>
      <c r="D11" s="81">
        <f>'PLANILHA ORÇAMENTÁRIA'!I11</f>
        <v>81015.03</v>
      </c>
      <c r="E11" s="82">
        <f>D11/$D$14</f>
        <v>0.49853212603458524</v>
      </c>
      <c r="F11" s="83">
        <f>$D$11*G11</f>
        <v>40507.514999999999</v>
      </c>
      <c r="G11" s="82">
        <v>0.5</v>
      </c>
      <c r="H11" s="83">
        <f>$D$11*I11</f>
        <v>40507.514999999999</v>
      </c>
      <c r="I11" s="82">
        <v>0.5</v>
      </c>
      <c r="J11" s="83"/>
      <c r="K11" s="82"/>
      <c r="L11" s="84">
        <f t="shared" ref="L11:L12" si="0">F11+H11+J11</f>
        <v>81015.03</v>
      </c>
      <c r="M11" s="135">
        <f t="shared" ref="M11:M12" si="1">G11+I11+K11</f>
        <v>1</v>
      </c>
    </row>
    <row r="12" spans="1:13" ht="35.25" customHeight="1">
      <c r="A12" s="136">
        <f>'PLANILHA ORÇAMENTÁRIA'!A22</f>
        <v>3</v>
      </c>
      <c r="B12" s="285" t="str">
        <f>'PLANILHA ORÇAMENTÁRIA'!D22</f>
        <v>RECAPEAMENTO AV. JOÃO MEIRA DOS SANTOS</v>
      </c>
      <c r="C12" s="285"/>
      <c r="D12" s="81">
        <f>'PLANILHA ORÇAMENTÁRIA'!I22</f>
        <v>78685.41</v>
      </c>
      <c r="E12" s="82">
        <f>D12/$D$14</f>
        <v>0.48419663283717873</v>
      </c>
      <c r="F12" s="83">
        <f>$D$12*G12</f>
        <v>39342.705000000002</v>
      </c>
      <c r="G12" s="82">
        <v>0.5</v>
      </c>
      <c r="H12" s="83">
        <f>$D$12*I12</f>
        <v>39342.705000000002</v>
      </c>
      <c r="I12" s="82">
        <v>0.5</v>
      </c>
      <c r="J12" s="83"/>
      <c r="K12" s="82"/>
      <c r="L12" s="84">
        <f t="shared" si="0"/>
        <v>78685.41</v>
      </c>
      <c r="M12" s="135">
        <f t="shared" si="1"/>
        <v>1</v>
      </c>
    </row>
    <row r="13" spans="1:13" ht="15.6">
      <c r="A13" s="137"/>
      <c r="B13" s="85"/>
      <c r="C13" s="86"/>
      <c r="D13" s="138"/>
      <c r="E13" s="139"/>
      <c r="F13" s="87"/>
      <c r="G13" s="140"/>
      <c r="H13" s="140"/>
      <c r="I13" s="140"/>
      <c r="J13" s="140"/>
      <c r="K13" s="140"/>
      <c r="L13" s="87"/>
      <c r="M13" s="141"/>
    </row>
    <row r="14" spans="1:13" ht="15.6">
      <c r="A14" s="142"/>
      <c r="B14" s="268" t="s">
        <v>63</v>
      </c>
      <c r="C14" s="268"/>
      <c r="D14" s="88">
        <f>SUM(D10:D12)</f>
        <v>162507.14000000001</v>
      </c>
      <c r="E14" s="89">
        <f>SUM(E10:E12)</f>
        <v>0.99999999999999989</v>
      </c>
      <c r="F14" s="90">
        <f>SUM(F10:F12)</f>
        <v>82656.92</v>
      </c>
      <c r="G14" s="91">
        <f>F14/$D$14</f>
        <v>0.50863562056411793</v>
      </c>
      <c r="H14" s="90">
        <f>SUM(H10:H12)</f>
        <v>79850.22</v>
      </c>
      <c r="I14" s="91">
        <f>H14/$D$14</f>
        <v>0.49136437943588196</v>
      </c>
      <c r="J14" s="90"/>
      <c r="K14" s="91"/>
      <c r="L14" s="90">
        <f>SUM(L10:L12)</f>
        <v>162507.14000000001</v>
      </c>
      <c r="M14" s="143">
        <f>L14/$D$14</f>
        <v>1</v>
      </c>
    </row>
    <row r="15" spans="1:13" ht="15.6">
      <c r="A15" s="142"/>
      <c r="B15" s="268" t="s">
        <v>66</v>
      </c>
      <c r="C15" s="268"/>
      <c r="D15" s="88">
        <f>SUM(D10:D12)</f>
        <v>162507.14000000001</v>
      </c>
      <c r="E15" s="89">
        <v>1</v>
      </c>
      <c r="F15" s="90">
        <f>F14</f>
        <v>82656.92</v>
      </c>
      <c r="G15" s="91">
        <f>G14</f>
        <v>0.50863562056411793</v>
      </c>
      <c r="H15" s="90">
        <f>H14+F15</f>
        <v>162507.14000000001</v>
      </c>
      <c r="I15" s="91">
        <f>I14+G15</f>
        <v>0.99999999999999989</v>
      </c>
      <c r="J15" s="90"/>
      <c r="K15" s="91"/>
      <c r="L15" s="90"/>
      <c r="M15" s="144"/>
    </row>
    <row r="16" spans="1:13" ht="15.6">
      <c r="A16" s="145"/>
      <c r="B16" s="146"/>
      <c r="C16" s="146"/>
      <c r="D16" s="146"/>
      <c r="E16" s="146"/>
      <c r="F16" s="92"/>
      <c r="G16" s="147"/>
      <c r="H16" s="147"/>
      <c r="I16" s="147"/>
      <c r="J16" s="147"/>
      <c r="K16" s="147"/>
      <c r="L16" s="93"/>
      <c r="M16" s="148"/>
    </row>
    <row r="17" spans="1:13" ht="15.6">
      <c r="A17" s="145"/>
      <c r="B17" s="291" t="str">
        <f>BDI!A25</f>
        <v>Divisa Alegre-MG,</v>
      </c>
      <c r="C17" s="292"/>
      <c r="D17" s="118">
        <f ca="1">TODAY()</f>
        <v>45952</v>
      </c>
      <c r="E17" s="146"/>
      <c r="F17" s="93"/>
      <c r="G17" s="147"/>
      <c r="H17" s="147"/>
      <c r="I17" s="147"/>
      <c r="J17" s="147"/>
      <c r="K17" s="147"/>
      <c r="L17" s="93"/>
      <c r="M17" s="148"/>
    </row>
    <row r="18" spans="1:13" ht="15">
      <c r="A18" s="269"/>
      <c r="B18" s="270"/>
      <c r="C18" s="270"/>
      <c r="D18" s="150"/>
      <c r="E18" s="150"/>
      <c r="F18" s="150"/>
      <c r="G18" s="150"/>
      <c r="H18" s="150"/>
      <c r="I18" s="150"/>
      <c r="J18" s="150"/>
      <c r="K18" s="150"/>
      <c r="L18" s="150"/>
      <c r="M18" s="151"/>
    </row>
    <row r="19" spans="1:13" ht="15.6">
      <c r="A19" s="149"/>
      <c r="B19" s="298"/>
      <c r="C19" s="298"/>
      <c r="D19" s="298"/>
      <c r="E19" s="298"/>
      <c r="F19" s="150"/>
      <c r="G19" s="153"/>
      <c r="H19" s="153"/>
      <c r="I19" s="153"/>
      <c r="J19" s="153"/>
      <c r="K19" s="153"/>
      <c r="L19" s="153"/>
      <c r="M19" s="154"/>
    </row>
    <row r="20" spans="1:13" ht="15.6">
      <c r="A20" s="149"/>
      <c r="B20" s="297"/>
      <c r="C20" s="297"/>
      <c r="D20" s="297"/>
      <c r="E20" s="297"/>
      <c r="F20" s="150"/>
      <c r="G20" s="152"/>
      <c r="H20" s="152"/>
      <c r="I20" s="152"/>
      <c r="J20" s="152"/>
      <c r="K20" s="152"/>
      <c r="L20" s="152"/>
      <c r="M20" s="155"/>
    </row>
    <row r="21" spans="1:13" ht="15">
      <c r="A21" s="156"/>
      <c r="B21" s="296" t="s">
        <v>24</v>
      </c>
      <c r="C21" s="296"/>
      <c r="D21" s="296"/>
      <c r="E21" s="296"/>
      <c r="F21" s="296"/>
      <c r="G21" s="296"/>
      <c r="H21" s="296" t="s">
        <v>24</v>
      </c>
      <c r="I21" s="296"/>
      <c r="J21" s="296"/>
      <c r="K21" s="296"/>
      <c r="L21" s="296"/>
      <c r="M21" s="299"/>
    </row>
    <row r="22" spans="1:13" ht="15">
      <c r="A22" s="156"/>
      <c r="B22" s="296" t="str">
        <f>BDI!A29</f>
        <v>MARCOS VINÍCIUS COSTA FRÓIS</v>
      </c>
      <c r="C22" s="296"/>
      <c r="D22" s="296"/>
      <c r="E22" s="296"/>
      <c r="F22" s="296"/>
      <c r="G22" s="296"/>
      <c r="H22" s="296" t="s">
        <v>26</v>
      </c>
      <c r="I22" s="296"/>
      <c r="J22" s="296"/>
      <c r="K22" s="296"/>
      <c r="L22" s="296"/>
      <c r="M22" s="299"/>
    </row>
    <row r="23" spans="1:13" s="96" customFormat="1" ht="15.6">
      <c r="A23" s="157"/>
      <c r="B23" s="185" t="str">
        <f>BDI!A30</f>
        <v>ENGENHEIRO CIVIL - CREA-MG: 250000/D</v>
      </c>
      <c r="C23" s="185"/>
      <c r="D23" s="185"/>
      <c r="E23" s="185"/>
      <c r="F23" s="185"/>
      <c r="G23" s="185"/>
      <c r="H23" s="185" t="s">
        <v>77</v>
      </c>
      <c r="I23" s="185"/>
      <c r="J23" s="185"/>
      <c r="K23" s="185"/>
      <c r="L23" s="185"/>
      <c r="M23" s="186"/>
    </row>
    <row r="24" spans="1:13" ht="15.6" thickBot="1">
      <c r="A24" s="158"/>
      <c r="B24" s="293"/>
      <c r="C24" s="293"/>
      <c r="D24" s="293"/>
      <c r="E24" s="293"/>
      <c r="F24" s="293"/>
      <c r="G24" s="293"/>
      <c r="H24" s="159"/>
      <c r="I24" s="159"/>
      <c r="J24" s="159"/>
      <c r="K24" s="159"/>
      <c r="L24" s="160"/>
      <c r="M24" s="161"/>
    </row>
    <row r="25" spans="1:13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3">
      <c r="B26" s="27"/>
      <c r="C26" s="1"/>
      <c r="D26" s="1"/>
      <c r="E26" s="1"/>
      <c r="F26" s="1"/>
      <c r="G26" s="1"/>
      <c r="H26" s="1"/>
      <c r="I26" s="1"/>
      <c r="J26" s="1"/>
      <c r="K26" s="1"/>
    </row>
  </sheetData>
  <mergeCells count="31">
    <mergeCell ref="B24:G24"/>
    <mergeCell ref="B11:C11"/>
    <mergeCell ref="L8:M8"/>
    <mergeCell ref="B9:C9"/>
    <mergeCell ref="B10:C10"/>
    <mergeCell ref="B8:C8"/>
    <mergeCell ref="D8:E8"/>
    <mergeCell ref="F8:G8"/>
    <mergeCell ref="B21:G21"/>
    <mergeCell ref="B20:E20"/>
    <mergeCell ref="B19:E19"/>
    <mergeCell ref="B22:G22"/>
    <mergeCell ref="H21:M21"/>
    <mergeCell ref="H22:M22"/>
    <mergeCell ref="H23:M23"/>
    <mergeCell ref="B23:G23"/>
    <mergeCell ref="A1:M1"/>
    <mergeCell ref="B14:C14"/>
    <mergeCell ref="B15:C15"/>
    <mergeCell ref="A18:C18"/>
    <mergeCell ref="A7:M7"/>
    <mergeCell ref="A6:M6"/>
    <mergeCell ref="L2:M2"/>
    <mergeCell ref="A4:M4"/>
    <mergeCell ref="A5:M5"/>
    <mergeCell ref="B12:C12"/>
    <mergeCell ref="H8:I8"/>
    <mergeCell ref="J8:K8"/>
    <mergeCell ref="A2:K2"/>
    <mergeCell ref="A3:K3"/>
    <mergeCell ref="B17:C17"/>
  </mergeCells>
  <pageMargins left="0.511811024" right="0.511811024" top="0.78740157499999996" bottom="0.78740157499999996" header="0.31496062000000002" footer="0.31496062000000002"/>
  <pageSetup paperSize="9" scale="7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F2B92-A0D8-4E13-8180-D5C5CF2F0815}">
  <sheetPr>
    <pageSetUpPr fitToPage="1"/>
  </sheetPr>
  <dimension ref="A1"/>
  <sheetViews>
    <sheetView view="pageBreakPreview" zoomScale="115" zoomScaleNormal="100" zoomScaleSheetLayoutView="115" workbookViewId="0">
      <selection activeCell="P25" sqref="P25"/>
    </sheetView>
  </sheetViews>
  <sheetFormatPr defaultRowHeight="13.2"/>
  <sheetData/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MEMÓRIAL DE CÁLCULO</vt:lpstr>
      <vt:lpstr>PLANILHA ORÇAMENTÁRIA</vt:lpstr>
      <vt:lpstr>BDI</vt:lpstr>
      <vt:lpstr>CRONOGRAMA FÍSICO-FINANCEIRO</vt:lpstr>
      <vt:lpstr>PREÇO EMULSÃO</vt:lpstr>
      <vt:lpstr>BDI!Area_de_impressao</vt:lpstr>
      <vt:lpstr>'CRONOGRAMA FÍSICO-FINANCEIRO'!Area_de_impressao</vt:lpstr>
      <vt:lpstr>'MEMÓRIAL DE CÁLCULO'!Area_de_impressao</vt:lpstr>
      <vt:lpstr>'PLANILHA ORÇAMENTÁRIA'!Area_de_impressao</vt:lpstr>
      <vt:lpstr>'PREÇO EMULSÃO'!Area_de_impressao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Fróis</dc:creator>
  <cp:lastModifiedBy>Marcos Fróis</cp:lastModifiedBy>
  <cp:lastPrinted>2025-10-22T10:41:26Z</cp:lastPrinted>
  <dcterms:created xsi:type="dcterms:W3CDTF">2006-09-22T13:55:22Z</dcterms:created>
  <dcterms:modified xsi:type="dcterms:W3CDTF">2025-10-22T10:41:32Z</dcterms:modified>
</cp:coreProperties>
</file>